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730" windowWidth="15330" windowHeight="2745" tabRatio="887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Summary" sheetId="29" r:id="rId7"/>
    <sheet name="IS" sheetId="4" r:id="rId8"/>
    <sheet name="Revised Debt" sheetId="30" r:id="rId9"/>
    <sheet name="BS" sheetId="19" state="hidden" r:id="rId10"/>
    <sheet name="Returns Analysis" sheetId="25" r:id="rId11"/>
    <sheet name="Debt" sheetId="6" r:id="rId12"/>
    <sheet name="Depreciation" sheetId="7" r:id="rId13"/>
    <sheet name="Taxes" sheetId="8" r:id="rId14"/>
    <sheet name="IDC" sheetId="18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Assumptions!$A$3:$P$82</definedName>
    <definedName name="_xlnm.Print_Area" localSheetId="9">BS!$A$2:$AH$9</definedName>
    <definedName name="_xlnm.Print_Area" localSheetId="11">Debt!$A$2:$AF$69</definedName>
    <definedName name="_xlnm.Print_Area" localSheetId="12">Depreciation!$A$2:$AH$50</definedName>
    <definedName name="_xlnm.Print_Area" localSheetId="14">IDC!$A$2:$L$59</definedName>
    <definedName name="_xlnm.Print_Area" localSheetId="7">IS!$A$2:$Q$45</definedName>
    <definedName name="_xlnm.Print_Area" localSheetId="13">Taxes!$A$2:$AF$41</definedName>
    <definedName name="_xlnm.Print_Titles" localSheetId="9">BS!$A:$A</definedName>
    <definedName name="_xlnm.Print_Titles" localSheetId="11">Debt!$A:$A</definedName>
    <definedName name="_xlnm.Print_Titles" localSheetId="12">Depreciation!$A:$A</definedName>
    <definedName name="_xlnm.Print_Titles" localSheetId="7">IS!$A:$A</definedName>
    <definedName name="_xlnm.Print_Titles" localSheetId="4">'Price_Technical Assumption'!$A:$B</definedName>
    <definedName name="_xlnm.Print_Titles" localSheetId="10">'Returns Analysis'!$A:$A</definedName>
    <definedName name="_xlnm.Print_Titles" localSheetId="13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U14" i="2" l="1"/>
  <c r="V14" i="2"/>
  <c r="W14" i="2"/>
  <c r="X14" i="2"/>
  <c r="Y14" i="2"/>
  <c r="Z14" i="2"/>
  <c r="AB14" i="2"/>
  <c r="N17" i="2"/>
  <c r="C20" i="2"/>
  <c r="C22" i="2"/>
  <c r="C23" i="2"/>
  <c r="N26" i="2"/>
  <c r="C27" i="2"/>
  <c r="C28" i="2"/>
  <c r="C29" i="2"/>
  <c r="G32" i="2"/>
  <c r="C33" i="2"/>
  <c r="G33" i="2"/>
  <c r="H35" i="2"/>
  <c r="H37" i="2"/>
  <c r="C38" i="2"/>
  <c r="H38" i="2"/>
  <c r="H39" i="2" s="1"/>
  <c r="G39" i="2"/>
  <c r="C40" i="2"/>
  <c r="G48" i="2"/>
  <c r="C51" i="2"/>
  <c r="H57" i="2"/>
  <c r="C58" i="2"/>
  <c r="H60" i="2"/>
  <c r="H66" i="2"/>
  <c r="H68" i="2" s="1"/>
  <c r="O22" i="2" s="1"/>
  <c r="A72" i="2"/>
  <c r="A2" i="19"/>
  <c r="D8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D4" i="28"/>
  <c r="D12" i="28"/>
  <c r="D21" i="28"/>
  <c r="C24" i="2" s="1"/>
  <c r="D34" i="28"/>
  <c r="D67" i="28"/>
  <c r="C25" i="2" s="1"/>
  <c r="D86" i="28"/>
  <c r="C26" i="2" s="1"/>
  <c r="C50" i="2" s="1"/>
  <c r="D94" i="28"/>
  <c r="C31" i="2" s="1"/>
  <c r="D108" i="28"/>
  <c r="D119" i="28"/>
  <c r="A2" i="6"/>
  <c r="B8" i="6"/>
  <c r="C8" i="6"/>
  <c r="D8" i="6"/>
  <c r="E8" i="6"/>
  <c r="E41" i="6" s="1"/>
  <c r="F8" i="6"/>
  <c r="G8" i="6"/>
  <c r="H8" i="6"/>
  <c r="I8" i="6"/>
  <c r="J8" i="6"/>
  <c r="K8" i="6"/>
  <c r="L8" i="6"/>
  <c r="M8" i="6"/>
  <c r="M41" i="6" s="1"/>
  <c r="N8" i="6"/>
  <c r="O8" i="6"/>
  <c r="P8" i="6"/>
  <c r="Q8" i="6"/>
  <c r="R8" i="6"/>
  <c r="S8" i="6"/>
  <c r="T8" i="6"/>
  <c r="U8" i="6"/>
  <c r="U41" i="6" s="1"/>
  <c r="V8" i="6"/>
  <c r="W8" i="6"/>
  <c r="X8" i="6"/>
  <c r="Y8" i="6"/>
  <c r="Z8" i="6"/>
  <c r="AA8" i="6"/>
  <c r="AB8" i="6"/>
  <c r="AC8" i="6"/>
  <c r="AC41" i="6" s="1"/>
  <c r="AD8" i="6"/>
  <c r="AE8" i="6"/>
  <c r="AF8" i="6"/>
  <c r="AN11" i="6"/>
  <c r="AN12" i="6" s="1"/>
  <c r="B41" i="6"/>
  <c r="C41" i="6"/>
  <c r="D41" i="6"/>
  <c r="F41" i="6"/>
  <c r="G41" i="6"/>
  <c r="H41" i="6"/>
  <c r="I41" i="6"/>
  <c r="J41" i="6"/>
  <c r="K41" i="6"/>
  <c r="L41" i="6"/>
  <c r="N41" i="6"/>
  <c r="O41" i="6"/>
  <c r="P41" i="6"/>
  <c r="Q41" i="6"/>
  <c r="R41" i="6"/>
  <c r="S41" i="6"/>
  <c r="T41" i="6"/>
  <c r="V41" i="6"/>
  <c r="W41" i="6"/>
  <c r="X41" i="6"/>
  <c r="Y41" i="6"/>
  <c r="Z41" i="6"/>
  <c r="AA41" i="6"/>
  <c r="AB41" i="6"/>
  <c r="AD41" i="6"/>
  <c r="AE41" i="6"/>
  <c r="AF41" i="6"/>
  <c r="E62" i="6"/>
  <c r="E63" i="6"/>
  <c r="E64" i="6" s="1"/>
  <c r="E65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F13" i="7" s="1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F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F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G7" i="27"/>
  <c r="D15" i="27"/>
  <c r="G4" i="27" s="1"/>
  <c r="G16" i="27"/>
  <c r="D27" i="27"/>
  <c r="G5" i="27" s="1"/>
  <c r="D39" i="27"/>
  <c r="G6" i="27" s="1"/>
  <c r="D51" i="27"/>
  <c r="D63" i="27"/>
  <c r="G8" i="27" s="1"/>
  <c r="D75" i="27"/>
  <c r="G9" i="27" s="1"/>
  <c r="D87" i="27"/>
  <c r="G10" i="27" s="1"/>
  <c r="D99" i="27"/>
  <c r="G11" i="27" s="1"/>
  <c r="D111" i="27"/>
  <c r="G12" i="27" s="1"/>
  <c r="L25" i="3" s="1"/>
  <c r="L30" i="3" s="1"/>
  <c r="D123" i="27"/>
  <c r="G13" i="27" s="1"/>
  <c r="D135" i="27"/>
  <c r="G14" i="27" s="1"/>
  <c r="D147" i="27"/>
  <c r="G15" i="27" s="1"/>
  <c r="D159" i="27"/>
  <c r="D171" i="27"/>
  <c r="G17" i="27" s="1"/>
  <c r="D183" i="27"/>
  <c r="G18" i="27" s="1"/>
  <c r="D195" i="27"/>
  <c r="G19" i="27" s="1"/>
  <c r="A2" i="18"/>
  <c r="C6" i="18"/>
  <c r="E21" i="18" s="1"/>
  <c r="F21" i="18" s="1"/>
  <c r="C7" i="18"/>
  <c r="C8" i="18"/>
  <c r="D8" i="18" s="1"/>
  <c r="C15" i="18"/>
  <c r="E15" i="18" s="1"/>
  <c r="A16" i="18"/>
  <c r="C16" i="18"/>
  <c r="E16" i="18" s="1"/>
  <c r="F16" i="18" s="1"/>
  <c r="A17" i="18"/>
  <c r="C17" i="18"/>
  <c r="E17" i="18"/>
  <c r="F17" i="18" s="1"/>
  <c r="C18" i="18"/>
  <c r="E18" i="18" s="1"/>
  <c r="F18" i="18" s="1"/>
  <c r="C19" i="18"/>
  <c r="E19" i="18"/>
  <c r="F19" i="18" s="1"/>
  <c r="C20" i="18"/>
  <c r="C21" i="18"/>
  <c r="C22" i="18"/>
  <c r="E22" i="18" s="1"/>
  <c r="F22" i="18" s="1"/>
  <c r="C23" i="18"/>
  <c r="E23" i="18"/>
  <c r="F23" i="18" s="1"/>
  <c r="C24" i="18"/>
  <c r="E24" i="18" s="1"/>
  <c r="F24" i="18" s="1"/>
  <c r="C25" i="18"/>
  <c r="E25" i="18"/>
  <c r="F25" i="18" s="1"/>
  <c r="C26" i="18"/>
  <c r="E26" i="18" s="1"/>
  <c r="F26" i="18" s="1"/>
  <c r="C27" i="18"/>
  <c r="E27" i="18"/>
  <c r="F27" i="18" s="1"/>
  <c r="C28" i="18"/>
  <c r="E28" i="18"/>
  <c r="F28" i="18"/>
  <c r="C29" i="18"/>
  <c r="E30" i="18"/>
  <c r="F30" i="18" s="1"/>
  <c r="E31" i="18"/>
  <c r="F31" i="18" s="1"/>
  <c r="E32" i="18"/>
  <c r="F32" i="18" s="1"/>
  <c r="E33" i="18"/>
  <c r="F33" i="18"/>
  <c r="H57" i="18"/>
  <c r="I57" i="18"/>
  <c r="J57" i="18"/>
  <c r="K57" i="18"/>
  <c r="L57" i="18"/>
  <c r="D59" i="18"/>
  <c r="D15" i="18" s="1"/>
  <c r="D34" i="18" s="1"/>
  <c r="A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6" i="4"/>
  <c r="N29" i="2" s="1"/>
  <c r="O29" i="2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 s="1"/>
  <c r="C18" i="4"/>
  <c r="D18" i="4" s="1"/>
  <c r="E18" i="4"/>
  <c r="F18" i="4" s="1"/>
  <c r="G18" i="4" s="1"/>
  <c r="H18" i="4" s="1"/>
  <c r="I18" i="4" s="1"/>
  <c r="J18" i="4" s="1"/>
  <c r="K18" i="4" s="1"/>
  <c r="L18" i="4" s="1"/>
  <c r="M18" i="4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C19" i="4"/>
  <c r="D19" i="4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0" i="4"/>
  <c r="D20" i="4"/>
  <c r="E20" i="4"/>
  <c r="F20" i="4" s="1"/>
  <c r="G20" i="4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 s="1"/>
  <c r="G21" i="4" s="1"/>
  <c r="H21" i="4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G38" i="4"/>
  <c r="B42" i="4"/>
  <c r="B43" i="4"/>
  <c r="B2" i="3"/>
  <c r="D7" i="3"/>
  <c r="E7" i="3"/>
  <c r="F7" i="3" s="1"/>
  <c r="D8" i="3"/>
  <c r="D12" i="3"/>
  <c r="E12" i="3"/>
  <c r="E21" i="3" s="1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D25" i="3"/>
  <c r="E25" i="3"/>
  <c r="F25" i="3"/>
  <c r="F30" i="3" s="1"/>
  <c r="G25" i="3"/>
  <c r="H25" i="3"/>
  <c r="H30" i="3" s="1"/>
  <c r="I25" i="3"/>
  <c r="J25" i="3"/>
  <c r="J30" i="3" s="1"/>
  <c r="K25" i="3"/>
  <c r="M25" i="3"/>
  <c r="N25" i="3"/>
  <c r="N30" i="3" s="1"/>
  <c r="O25" i="3"/>
  <c r="P25" i="3"/>
  <c r="P30" i="3" s="1"/>
  <c r="Q25" i="3"/>
  <c r="R25" i="3"/>
  <c r="R30" i="3" s="1"/>
  <c r="S25" i="3"/>
  <c r="T25" i="3"/>
  <c r="U25" i="3"/>
  <c r="V25" i="3"/>
  <c r="V30" i="3" s="1"/>
  <c r="W25" i="3"/>
  <c r="X25" i="3"/>
  <c r="X30" i="3" s="1"/>
  <c r="D28" i="3"/>
  <c r="E28" i="3"/>
  <c r="F28" i="3"/>
  <c r="G28" i="3"/>
  <c r="H28" i="3"/>
  <c r="I28" i="3"/>
  <c r="I30" i="3" s="1"/>
  <c r="J28" i="3"/>
  <c r="K28" i="3"/>
  <c r="L28" i="3"/>
  <c r="M28" i="3"/>
  <c r="N28" i="3"/>
  <c r="O28" i="3"/>
  <c r="P28" i="3"/>
  <c r="Q28" i="3"/>
  <c r="Q30" i="3" s="1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G30" i="3"/>
  <c r="K30" i="3"/>
  <c r="M30" i="3"/>
  <c r="O30" i="3"/>
  <c r="S30" i="3"/>
  <c r="T30" i="3"/>
  <c r="U30" i="3"/>
  <c r="W30" i="3"/>
  <c r="Y30" i="3"/>
  <c r="Z30" i="3"/>
  <c r="AA30" i="3"/>
  <c r="AB30" i="3"/>
  <c r="AC30" i="3"/>
  <c r="AD30" i="3"/>
  <c r="AE30" i="3"/>
  <c r="AF30" i="3"/>
  <c r="AG30" i="3"/>
  <c r="AH30" i="3"/>
  <c r="T34" i="3"/>
  <c r="D35" i="3"/>
  <c r="E35" i="3"/>
  <c r="A38" i="3"/>
  <c r="D42" i="3"/>
  <c r="E42" i="3"/>
  <c r="F42" i="3"/>
  <c r="F44" i="3" s="1"/>
  <c r="F34" i="3" s="1"/>
  <c r="G42" i="3"/>
  <c r="H42" i="3"/>
  <c r="I42" i="3"/>
  <c r="J42" i="3"/>
  <c r="J44" i="3" s="1"/>
  <c r="J34" i="3" s="1"/>
  <c r="K42" i="3"/>
  <c r="L42" i="3"/>
  <c r="M42" i="3"/>
  <c r="N42" i="3"/>
  <c r="N44" i="3" s="1"/>
  <c r="N34" i="3" s="1"/>
  <c r="O42" i="3"/>
  <c r="P42" i="3"/>
  <c r="Q42" i="3"/>
  <c r="R42" i="3"/>
  <c r="R44" i="3" s="1"/>
  <c r="R34" i="3" s="1"/>
  <c r="S42" i="3"/>
  <c r="T42" i="3"/>
  <c r="U42" i="3"/>
  <c r="V42" i="3"/>
  <c r="V44" i="3" s="1"/>
  <c r="V34" i="3" s="1"/>
  <c r="W42" i="3"/>
  <c r="X42" i="3"/>
  <c r="Y42" i="3"/>
  <c r="Z42" i="3"/>
  <c r="Z44" i="3" s="1"/>
  <c r="Z34" i="3" s="1"/>
  <c r="AA42" i="3"/>
  <c r="AB42" i="3"/>
  <c r="AC42" i="3"/>
  <c r="AD42" i="3"/>
  <c r="AD44" i="3" s="1"/>
  <c r="AD34" i="3" s="1"/>
  <c r="AE42" i="3"/>
  <c r="AF42" i="3"/>
  <c r="AG42" i="3"/>
  <c r="AH42" i="3"/>
  <c r="AH44" i="3" s="1"/>
  <c r="AH34" i="3" s="1"/>
  <c r="D44" i="3"/>
  <c r="D34" i="3" s="1"/>
  <c r="D36" i="3" s="1"/>
  <c r="E44" i="3"/>
  <c r="E34" i="3" s="1"/>
  <c r="E36" i="3" s="1"/>
  <c r="E38" i="3" s="1"/>
  <c r="G44" i="3"/>
  <c r="G34" i="3" s="1"/>
  <c r="H44" i="3"/>
  <c r="H34" i="3" s="1"/>
  <c r="I44" i="3"/>
  <c r="K44" i="3"/>
  <c r="L44" i="3"/>
  <c r="L34" i="3" s="1"/>
  <c r="M44" i="3"/>
  <c r="M34" i="3" s="1"/>
  <c r="O44" i="3"/>
  <c r="O34" i="3" s="1"/>
  <c r="P44" i="3"/>
  <c r="P34" i="3" s="1"/>
  <c r="Q44" i="3"/>
  <c r="S44" i="3"/>
  <c r="S34" i="3" s="1"/>
  <c r="T44" i="3"/>
  <c r="U44" i="3"/>
  <c r="U34" i="3" s="1"/>
  <c r="W44" i="3"/>
  <c r="W34" i="3" s="1"/>
  <c r="X44" i="3"/>
  <c r="X34" i="3" s="1"/>
  <c r="Y44" i="3"/>
  <c r="AA44" i="3"/>
  <c r="AA34" i="3" s="1"/>
  <c r="AB44" i="3"/>
  <c r="AB34" i="3" s="1"/>
  <c r="AC44" i="3"/>
  <c r="AC34" i="3" s="1"/>
  <c r="AE44" i="3"/>
  <c r="AE34" i="3" s="1"/>
  <c r="AF44" i="3"/>
  <c r="AF34" i="3" s="1"/>
  <c r="AG44" i="3"/>
  <c r="A2" i="25"/>
  <c r="C6" i="25"/>
  <c r="D6" i="25"/>
  <c r="E6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 s="1"/>
  <c r="B21" i="25" s="1"/>
  <c r="A41" i="25"/>
  <c r="B43" i="25"/>
  <c r="A48" i="25"/>
  <c r="B50" i="25"/>
  <c r="A55" i="25"/>
  <c r="B57" i="25"/>
  <c r="AG58" i="25"/>
  <c r="W58" i="25" s="1"/>
  <c r="C5" i="30"/>
  <c r="C6" i="30"/>
  <c r="C7" i="30" s="1"/>
  <c r="C11" i="30"/>
  <c r="C12" i="30"/>
  <c r="B3" i="29"/>
  <c r="A2" i="8"/>
  <c r="B6" i="8"/>
  <c r="C6" i="8"/>
  <c r="D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D7" i="19" l="1"/>
  <c r="D7" i="7"/>
  <c r="C7" i="4"/>
  <c r="E8" i="3"/>
  <c r="C7" i="25"/>
  <c r="B27" i="25"/>
  <c r="B37" i="25"/>
  <c r="F36" i="3"/>
  <c r="F38" i="3" s="1"/>
  <c r="D38" i="3"/>
  <c r="F17" i="4"/>
  <c r="K34" i="3"/>
  <c r="F6" i="19"/>
  <c r="F6" i="7"/>
  <c r="E6" i="4"/>
  <c r="G7" i="3"/>
  <c r="F35" i="3"/>
  <c r="AG34" i="3"/>
  <c r="Y34" i="3"/>
  <c r="Q34" i="3"/>
  <c r="I34" i="3"/>
  <c r="D6" i="19"/>
  <c r="D6" i="7"/>
  <c r="C6" i="4"/>
  <c r="F21" i="3"/>
  <c r="F15" i="18"/>
  <c r="E6" i="19"/>
  <c r="E6" i="7"/>
  <c r="D6" i="4"/>
  <c r="C34" i="18"/>
  <c r="E20" i="18"/>
  <c r="F20" i="18" s="1"/>
  <c r="A18" i="18"/>
  <c r="E29" i="18"/>
  <c r="F29" i="18" s="1"/>
  <c r="H13" i="7"/>
  <c r="G13" i="7"/>
  <c r="E13" i="7"/>
  <c r="D25" i="2"/>
  <c r="D40" i="2"/>
  <c r="D24" i="2"/>
  <c r="D21" i="2"/>
  <c r="D55" i="2"/>
  <c r="D5" i="28"/>
  <c r="O21" i="2"/>
  <c r="O23" i="2"/>
  <c r="O25" i="2"/>
  <c r="D41" i="2"/>
  <c r="D45" i="2"/>
  <c r="O19" i="2"/>
  <c r="D39" i="2"/>
  <c r="D56" i="2"/>
  <c r="D33" i="2"/>
  <c r="D42" i="2"/>
  <c r="D46" i="2"/>
  <c r="D51" i="2"/>
  <c r="D57" i="2"/>
  <c r="D49" i="2"/>
  <c r="O24" i="2"/>
  <c r="D43" i="2"/>
  <c r="D20" i="2"/>
  <c r="D29" i="2"/>
  <c r="D44" i="2"/>
  <c r="H62" i="2"/>
  <c r="O20" i="2"/>
  <c r="D47" i="2"/>
  <c r="D32" i="2"/>
  <c r="D50" i="2"/>
  <c r="D27" i="2"/>
  <c r="D111" i="28"/>
  <c r="D115" i="28" s="1"/>
  <c r="D121" i="28" s="1"/>
  <c r="C30" i="2"/>
  <c r="C34" i="2" s="1"/>
  <c r="D38" i="2"/>
  <c r="D31" i="2"/>
  <c r="D26" i="2"/>
  <c r="D58" i="2"/>
  <c r="D23" i="2"/>
  <c r="D28" i="2"/>
  <c r="D22" i="2"/>
  <c r="N30" i="2" l="1"/>
  <c r="G27" i="7"/>
  <c r="G42" i="7"/>
  <c r="A19" i="18"/>
  <c r="F34" i="18"/>
  <c r="G15" i="18"/>
  <c r="E7" i="19"/>
  <c r="E7" i="7"/>
  <c r="D7" i="4"/>
  <c r="F8" i="3"/>
  <c r="D7" i="25"/>
  <c r="C7" i="8"/>
  <c r="N32" i="2"/>
  <c r="O32" i="2" s="1"/>
  <c r="C10" i="4"/>
  <c r="C13" i="4" s="1"/>
  <c r="C17" i="4"/>
  <c r="C26" i="4"/>
  <c r="N33" i="2" s="1"/>
  <c r="O33" i="2" s="1"/>
  <c r="W26" i="4"/>
  <c r="C14" i="30"/>
  <c r="G17" i="4"/>
  <c r="B74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5" i="30"/>
  <c r="H27" i="7"/>
  <c r="H42" i="7"/>
  <c r="D13" i="7"/>
  <c r="D41" i="7"/>
  <c r="D43" i="7"/>
  <c r="D47" i="7" s="1"/>
  <c r="D14" i="7"/>
  <c r="G6" i="19"/>
  <c r="G6" i="7"/>
  <c r="F6" i="4"/>
  <c r="H7" i="3"/>
  <c r="H21" i="3"/>
  <c r="F6" i="25"/>
  <c r="G35" i="3"/>
  <c r="G36" i="3" s="1"/>
  <c r="G38" i="3" s="1"/>
  <c r="E6" i="8"/>
  <c r="D10" i="4"/>
  <c r="D13" i="4" s="1"/>
  <c r="D14" i="30"/>
  <c r="E10" i="4"/>
  <c r="E13" i="4" s="1"/>
  <c r="E14" i="30"/>
  <c r="C27" i="4"/>
  <c r="K27" i="4"/>
  <c r="S27" i="4"/>
  <c r="AA27" i="4"/>
  <c r="D27" i="4"/>
  <c r="L27" i="4"/>
  <c r="T27" i="4"/>
  <c r="AB27" i="4"/>
  <c r="E27" i="4"/>
  <c r="M27" i="4"/>
  <c r="U27" i="4"/>
  <c r="AC27" i="4"/>
  <c r="F27" i="4"/>
  <c r="N27" i="4"/>
  <c r="V27" i="4"/>
  <c r="AD27" i="4"/>
  <c r="G27" i="4"/>
  <c r="O27" i="4"/>
  <c r="W27" i="4"/>
  <c r="AE27" i="4"/>
  <c r="H27" i="4"/>
  <c r="P27" i="4"/>
  <c r="X27" i="4"/>
  <c r="AF27" i="4"/>
  <c r="J27" i="4"/>
  <c r="R27" i="4"/>
  <c r="Z27" i="4"/>
  <c r="I27" i="4"/>
  <c r="Q27" i="4"/>
  <c r="Y27" i="4"/>
  <c r="AG27" i="4"/>
  <c r="O26" i="2"/>
  <c r="E41" i="7"/>
  <c r="E43" i="7"/>
  <c r="E47" i="7" s="1"/>
  <c r="E14" i="7"/>
  <c r="G21" i="3"/>
  <c r="F14" i="7"/>
  <c r="F41" i="7"/>
  <c r="F43" i="7"/>
  <c r="F47" i="7" s="1"/>
  <c r="E34" i="18"/>
  <c r="E27" i="7"/>
  <c r="E42" i="7"/>
  <c r="D30" i="2"/>
  <c r="D34" i="2" s="1"/>
  <c r="AA13" i="2"/>
  <c r="AA14" i="2" s="1"/>
  <c r="F28" i="7" l="1"/>
  <c r="F33" i="7" s="1"/>
  <c r="F18" i="7"/>
  <c r="G14" i="7"/>
  <c r="G41" i="7"/>
  <c r="G43" i="7"/>
  <c r="G47" i="7" s="1"/>
  <c r="A20" i="18"/>
  <c r="E28" i="7"/>
  <c r="E33" i="7" s="1"/>
  <c r="E18" i="7"/>
  <c r="C74" i="2"/>
  <c r="D15" i="30"/>
  <c r="D18" i="7"/>
  <c r="D28" i="7"/>
  <c r="D33" i="7" s="1"/>
  <c r="F7" i="19"/>
  <c r="F7" i="7"/>
  <c r="E7" i="4"/>
  <c r="G8" i="3"/>
  <c r="E7" i="25"/>
  <c r="D7" i="8"/>
  <c r="H6" i="19"/>
  <c r="H6" i="7"/>
  <c r="G6" i="4"/>
  <c r="H35" i="3"/>
  <c r="H36" i="3" s="1"/>
  <c r="H38" i="3" s="1"/>
  <c r="I7" i="3"/>
  <c r="G6" i="25"/>
  <c r="F6" i="8"/>
  <c r="D27" i="7"/>
  <c r="D42" i="7"/>
  <c r="I13" i="7"/>
  <c r="H17" i="4"/>
  <c r="H16" i="18"/>
  <c r="G16" i="18" s="1"/>
  <c r="F10" i="4"/>
  <c r="F13" i="4" s="1"/>
  <c r="F14" i="30"/>
  <c r="O30" i="2"/>
  <c r="C23" i="4"/>
  <c r="D23" i="4" s="1"/>
  <c r="G17" i="18" l="1"/>
  <c r="H17" i="18"/>
  <c r="I6" i="19"/>
  <c r="I6" i="7"/>
  <c r="H6" i="4"/>
  <c r="J21" i="3"/>
  <c r="I35" i="3"/>
  <c r="I36" i="3" s="1"/>
  <c r="I38" i="3" s="1"/>
  <c r="J7" i="3"/>
  <c r="H6" i="25"/>
  <c r="G6" i="8"/>
  <c r="I16" i="18"/>
  <c r="G7" i="19"/>
  <c r="G7" i="7"/>
  <c r="F7" i="4"/>
  <c r="F15" i="30" s="1"/>
  <c r="H8" i="3"/>
  <c r="F7" i="25"/>
  <c r="E7" i="8"/>
  <c r="D74" i="2"/>
  <c r="E15" i="30"/>
  <c r="G28" i="7"/>
  <c r="G33" i="7" s="1"/>
  <c r="G18" i="7"/>
  <c r="H14" i="7"/>
  <c r="H41" i="7"/>
  <c r="H43" i="7"/>
  <c r="H47" i="7" s="1"/>
  <c r="E23" i="4"/>
  <c r="I17" i="4"/>
  <c r="I21" i="3"/>
  <c r="I27" i="7"/>
  <c r="I42" i="7"/>
  <c r="G10" i="4"/>
  <c r="G13" i="4" s="1"/>
  <c r="G14" i="30"/>
  <c r="A21" i="18"/>
  <c r="H18" i="18" l="1"/>
  <c r="A22" i="18"/>
  <c r="H10" i="4"/>
  <c r="H13" i="4" s="1"/>
  <c r="H14" i="30"/>
  <c r="J17" i="4"/>
  <c r="I14" i="7"/>
  <c r="I41" i="7"/>
  <c r="I43" i="7"/>
  <c r="I47" i="7" s="1"/>
  <c r="F23" i="4"/>
  <c r="H28" i="7"/>
  <c r="H33" i="7" s="1"/>
  <c r="H18" i="7"/>
  <c r="H7" i="19"/>
  <c r="H7" i="7"/>
  <c r="I8" i="3"/>
  <c r="G7" i="4"/>
  <c r="G15" i="30" s="1"/>
  <c r="G7" i="25"/>
  <c r="F7" i="8"/>
  <c r="J6" i="19"/>
  <c r="J6" i="7"/>
  <c r="I6" i="4"/>
  <c r="K21" i="3"/>
  <c r="J35" i="3"/>
  <c r="J36" i="3" s="1"/>
  <c r="J38" i="3" s="1"/>
  <c r="I6" i="25"/>
  <c r="K7" i="3"/>
  <c r="H6" i="8"/>
  <c r="I17" i="18"/>
  <c r="K17" i="4" l="1"/>
  <c r="G23" i="4"/>
  <c r="I7" i="19"/>
  <c r="I7" i="7"/>
  <c r="H7" i="4"/>
  <c r="H15" i="30" s="1"/>
  <c r="J8" i="3"/>
  <c r="H7" i="25"/>
  <c r="G7" i="8"/>
  <c r="I10" i="4"/>
  <c r="I13" i="4" s="1"/>
  <c r="I14" i="30"/>
  <c r="J14" i="7"/>
  <c r="J41" i="7"/>
  <c r="J43" i="7"/>
  <c r="J47" i="7" s="1"/>
  <c r="A23" i="18"/>
  <c r="I28" i="7"/>
  <c r="I33" i="7" s="1"/>
  <c r="I18" i="7"/>
  <c r="I18" i="18"/>
  <c r="K6" i="19"/>
  <c r="J6" i="4"/>
  <c r="K6" i="7"/>
  <c r="L7" i="3"/>
  <c r="J6" i="25"/>
  <c r="K35" i="3"/>
  <c r="K36" i="3" s="1"/>
  <c r="K38" i="3" s="1"/>
  <c r="I6" i="8"/>
  <c r="G18" i="18"/>
  <c r="J18" i="7" l="1"/>
  <c r="J28" i="7"/>
  <c r="J33" i="7" s="1"/>
  <c r="J7" i="19"/>
  <c r="J7" i="7"/>
  <c r="I7" i="4"/>
  <c r="I15" i="30" s="1"/>
  <c r="K8" i="3"/>
  <c r="I7" i="25"/>
  <c r="H7" i="8"/>
  <c r="L6" i="19"/>
  <c r="L6" i="7"/>
  <c r="K6" i="4"/>
  <c r="M7" i="3"/>
  <c r="M21" i="3"/>
  <c r="L35" i="3"/>
  <c r="L36" i="3" s="1"/>
  <c r="L38" i="3" s="1"/>
  <c r="K6" i="25"/>
  <c r="J6" i="8"/>
  <c r="L21" i="3"/>
  <c r="H23" i="18"/>
  <c r="A24" i="18"/>
  <c r="H23" i="4"/>
  <c r="G19" i="18"/>
  <c r="H19" i="18"/>
  <c r="L17" i="4"/>
  <c r="K14" i="7"/>
  <c r="K41" i="7"/>
  <c r="K43" i="7"/>
  <c r="K47" i="7" s="1"/>
  <c r="J10" i="4"/>
  <c r="J13" i="4" s="1"/>
  <c r="J14" i="30"/>
  <c r="H24" i="18" l="1"/>
  <c r="A25" i="18"/>
  <c r="M6" i="19"/>
  <c r="M6" i="7"/>
  <c r="L6" i="4"/>
  <c r="N7" i="3"/>
  <c r="M35" i="3"/>
  <c r="M36" i="3" s="1"/>
  <c r="M38" i="3" s="1"/>
  <c r="L6" i="25"/>
  <c r="K6" i="8"/>
  <c r="H20" i="18"/>
  <c r="G20" i="18" s="1"/>
  <c r="K18" i="7"/>
  <c r="K28" i="7"/>
  <c r="K33" i="7" s="1"/>
  <c r="K10" i="4"/>
  <c r="K13" i="4" s="1"/>
  <c r="K14" i="30"/>
  <c r="M17" i="4"/>
  <c r="L41" i="7"/>
  <c r="L43" i="7"/>
  <c r="L47" i="7" s="1"/>
  <c r="L14" i="7"/>
  <c r="K7" i="19"/>
  <c r="K7" i="7"/>
  <c r="J7" i="4"/>
  <c r="J15" i="30" s="1"/>
  <c r="J7" i="25"/>
  <c r="L8" i="3"/>
  <c r="I7" i="8"/>
  <c r="I23" i="4"/>
  <c r="I19" i="18"/>
  <c r="G21" i="18" l="1"/>
  <c r="H21" i="18"/>
  <c r="N6" i="19"/>
  <c r="N6" i="7"/>
  <c r="M6" i="4"/>
  <c r="O7" i="3"/>
  <c r="N35" i="3"/>
  <c r="N36" i="3" s="1"/>
  <c r="N38" i="3" s="1"/>
  <c r="O21" i="3"/>
  <c r="M6" i="25"/>
  <c r="L6" i="8"/>
  <c r="L18" i="7"/>
  <c r="L28" i="7"/>
  <c r="L33" i="7" s="1"/>
  <c r="L10" i="4"/>
  <c r="L13" i="4" s="1"/>
  <c r="L14" i="30"/>
  <c r="J23" i="4"/>
  <c r="M41" i="7"/>
  <c r="M43" i="7"/>
  <c r="M47" i="7" s="1"/>
  <c r="M14" i="7"/>
  <c r="L7" i="19"/>
  <c r="L7" i="7"/>
  <c r="K7" i="4"/>
  <c r="K15" i="30" s="1"/>
  <c r="M8" i="3"/>
  <c r="K7" i="25"/>
  <c r="J7" i="8"/>
  <c r="H25" i="18"/>
  <c r="A26" i="18"/>
  <c r="N17" i="4"/>
  <c r="I20" i="18"/>
  <c r="N21" i="3"/>
  <c r="H22" i="18" l="1"/>
  <c r="M7" i="19"/>
  <c r="M7" i="7"/>
  <c r="L7" i="4"/>
  <c r="L15" i="30" s="1"/>
  <c r="N8" i="3"/>
  <c r="L7" i="25"/>
  <c r="K7" i="8"/>
  <c r="K23" i="4"/>
  <c r="O17" i="4"/>
  <c r="O6" i="19"/>
  <c r="O6" i="7"/>
  <c r="N6" i="4"/>
  <c r="P7" i="3"/>
  <c r="O35" i="3"/>
  <c r="O36" i="3" s="1"/>
  <c r="O38" i="3" s="1"/>
  <c r="N6" i="25"/>
  <c r="M6" i="8"/>
  <c r="H26" i="18"/>
  <c r="A27" i="18"/>
  <c r="M10" i="4"/>
  <c r="M13" i="4" s="1"/>
  <c r="M14" i="30"/>
  <c r="M28" i="7"/>
  <c r="M33" i="7" s="1"/>
  <c r="M18" i="7"/>
  <c r="N41" i="7"/>
  <c r="N43" i="7"/>
  <c r="N47" i="7" s="1"/>
  <c r="N14" i="7"/>
  <c r="I21" i="18"/>
  <c r="P6" i="19" l="1"/>
  <c r="P6" i="7"/>
  <c r="O6" i="4"/>
  <c r="P35" i="3"/>
  <c r="P36" i="3" s="1"/>
  <c r="P38" i="3" s="1"/>
  <c r="Q7" i="3"/>
  <c r="O6" i="25"/>
  <c r="N6" i="8"/>
  <c r="O14" i="7"/>
  <c r="O41" i="7"/>
  <c r="O43" i="7"/>
  <c r="O47" i="7" s="1"/>
  <c r="N7" i="19"/>
  <c r="N7" i="7"/>
  <c r="M7" i="4"/>
  <c r="M15" i="30" s="1"/>
  <c r="O8" i="3"/>
  <c r="M7" i="25"/>
  <c r="L7" i="8"/>
  <c r="P17" i="4"/>
  <c r="N28" i="7"/>
  <c r="N33" i="7" s="1"/>
  <c r="N18" i="7"/>
  <c r="I22" i="18"/>
  <c r="I23" i="18" s="1"/>
  <c r="I24" i="18" s="1"/>
  <c r="I25" i="18" s="1"/>
  <c r="I26" i="18" s="1"/>
  <c r="I27" i="18" s="1"/>
  <c r="A28" i="18"/>
  <c r="H27" i="18"/>
  <c r="N10" i="4"/>
  <c r="N13" i="4" s="1"/>
  <c r="N14" i="30"/>
  <c r="P21" i="3"/>
  <c r="L23" i="4"/>
  <c r="G22" i="18"/>
  <c r="G23" i="18" s="1"/>
  <c r="G24" i="18" s="1"/>
  <c r="G25" i="18" s="1"/>
  <c r="G26" i="18" s="1"/>
  <c r="G27" i="18" s="1"/>
  <c r="O7" i="19" l="1"/>
  <c r="O7" i="7"/>
  <c r="N7" i="4"/>
  <c r="N15" i="30" s="1"/>
  <c r="P8" i="3"/>
  <c r="N7" i="25"/>
  <c r="M7" i="8"/>
  <c r="Q6" i="19"/>
  <c r="Q6" i="7"/>
  <c r="P6" i="4"/>
  <c r="Q35" i="3"/>
  <c r="Q36" i="3" s="1"/>
  <c r="Q38" i="3" s="1"/>
  <c r="R7" i="3"/>
  <c r="P6" i="25"/>
  <c r="O6" i="8"/>
  <c r="M23" i="4"/>
  <c r="Q17" i="4"/>
  <c r="Q21" i="3"/>
  <c r="A29" i="18"/>
  <c r="I28" i="18"/>
  <c r="H28" i="18"/>
  <c r="G28" i="18" s="1"/>
  <c r="O10" i="4"/>
  <c r="O13" i="4" s="1"/>
  <c r="O14" i="30"/>
  <c r="O28" i="7"/>
  <c r="O33" i="7" s="1"/>
  <c r="O18" i="7"/>
  <c r="P41" i="7"/>
  <c r="P43" i="7"/>
  <c r="P47" i="7" s="1"/>
  <c r="P14" i="7"/>
  <c r="G29" i="18" l="1"/>
  <c r="P18" i="7"/>
  <c r="P28" i="7"/>
  <c r="P33" i="7" s="1"/>
  <c r="N23" i="4"/>
  <c r="Q14" i="7"/>
  <c r="Q41" i="7"/>
  <c r="Q43" i="7"/>
  <c r="Q47" i="7" s="1"/>
  <c r="R6" i="19"/>
  <c r="R6" i="7"/>
  <c r="Q6" i="4"/>
  <c r="R35" i="3"/>
  <c r="R36" i="3" s="1"/>
  <c r="R38" i="3" s="1"/>
  <c r="Q6" i="25"/>
  <c r="S7" i="3"/>
  <c r="P6" i="8"/>
  <c r="P7" i="19"/>
  <c r="P7" i="7"/>
  <c r="Q8" i="3"/>
  <c r="O7" i="4"/>
  <c r="O15" i="30" s="1"/>
  <c r="O7" i="25"/>
  <c r="N7" i="8"/>
  <c r="P10" i="4"/>
  <c r="P13" i="4" s="1"/>
  <c r="P14" i="30"/>
  <c r="H29" i="18"/>
  <c r="A30" i="18"/>
  <c r="I29" i="18"/>
  <c r="R17" i="4"/>
  <c r="R21" i="3"/>
  <c r="G30" i="18" l="1"/>
  <c r="S6" i="19"/>
  <c r="S6" i="7"/>
  <c r="R6" i="4"/>
  <c r="T21" i="3"/>
  <c r="T7" i="3"/>
  <c r="R6" i="25"/>
  <c r="S35" i="3"/>
  <c r="S36" i="3" s="1"/>
  <c r="S38" i="3" s="1"/>
  <c r="Q6" i="8"/>
  <c r="Q28" i="7"/>
  <c r="Q33" i="7" s="1"/>
  <c r="Q18" i="7"/>
  <c r="Q7" i="19"/>
  <c r="Q7" i="7"/>
  <c r="P7" i="4"/>
  <c r="P15" i="30" s="1"/>
  <c r="R8" i="3"/>
  <c r="P7" i="25"/>
  <c r="O7" i="8"/>
  <c r="Q10" i="4"/>
  <c r="Q13" i="4" s="1"/>
  <c r="Q14" i="30"/>
  <c r="O23" i="4"/>
  <c r="S17" i="4"/>
  <c r="R14" i="7"/>
  <c r="R41" i="7"/>
  <c r="R43" i="7"/>
  <c r="R47" i="7" s="1"/>
  <c r="S21" i="3"/>
  <c r="H30" i="18"/>
  <c r="I30" i="18"/>
  <c r="A31" i="18"/>
  <c r="R18" i="7" l="1"/>
  <c r="R28" i="7"/>
  <c r="R33" i="7" s="1"/>
  <c r="H31" i="18"/>
  <c r="G31" i="18" s="1"/>
  <c r="I31" i="18"/>
  <c r="A32" i="18"/>
  <c r="R7" i="19"/>
  <c r="R7" i="7"/>
  <c r="Q7" i="4"/>
  <c r="Q15" i="30" s="1"/>
  <c r="S8" i="3"/>
  <c r="Q7" i="25"/>
  <c r="P7" i="8"/>
  <c r="T6" i="19"/>
  <c r="T6" i="7"/>
  <c r="S6" i="4"/>
  <c r="U7" i="3"/>
  <c r="S6" i="25"/>
  <c r="T35" i="3"/>
  <c r="T36" i="3" s="1"/>
  <c r="T38" i="3" s="1"/>
  <c r="R6" i="8"/>
  <c r="T17" i="4"/>
  <c r="R10" i="4"/>
  <c r="R13" i="4" s="1"/>
  <c r="R14" i="30"/>
  <c r="S14" i="7"/>
  <c r="S41" i="7"/>
  <c r="S43" i="7"/>
  <c r="S47" i="7" s="1"/>
  <c r="P23" i="4"/>
  <c r="S10" i="4" l="1"/>
  <c r="S13" i="4" s="1"/>
  <c r="S14" i="30"/>
  <c r="U6" i="19"/>
  <c r="U6" i="7"/>
  <c r="T6" i="4"/>
  <c r="V7" i="3"/>
  <c r="V21" i="3" s="1"/>
  <c r="T6" i="25"/>
  <c r="U35" i="3"/>
  <c r="U36" i="3" s="1"/>
  <c r="U38" i="3" s="1"/>
  <c r="S6" i="8"/>
  <c r="T41" i="7"/>
  <c r="T43" i="7"/>
  <c r="T47" i="7" s="1"/>
  <c r="T14" i="7"/>
  <c r="I32" i="18"/>
  <c r="A33" i="18"/>
  <c r="H32" i="18"/>
  <c r="G32" i="18" s="1"/>
  <c r="U17" i="4"/>
  <c r="S18" i="7"/>
  <c r="S28" i="7"/>
  <c r="S33" i="7" s="1"/>
  <c r="S7" i="19"/>
  <c r="S7" i="7"/>
  <c r="R7" i="4"/>
  <c r="R15" i="30" s="1"/>
  <c r="T8" i="3"/>
  <c r="R7" i="25"/>
  <c r="Q7" i="8"/>
  <c r="Q23" i="4"/>
  <c r="U21" i="3"/>
  <c r="T10" i="4" l="1"/>
  <c r="T13" i="4" s="1"/>
  <c r="T14" i="30"/>
  <c r="U41" i="7"/>
  <c r="U43" i="7"/>
  <c r="U47" i="7" s="1"/>
  <c r="U14" i="7"/>
  <c r="T18" i="7"/>
  <c r="T28" i="7"/>
  <c r="T33" i="7" s="1"/>
  <c r="V6" i="19"/>
  <c r="V6" i="7"/>
  <c r="U6" i="4"/>
  <c r="W7" i="3"/>
  <c r="V35" i="3"/>
  <c r="V36" i="3" s="1"/>
  <c r="V38" i="3" s="1"/>
  <c r="W21" i="3"/>
  <c r="U6" i="25"/>
  <c r="T6" i="8"/>
  <c r="T7" i="19"/>
  <c r="T7" i="7"/>
  <c r="S7" i="4"/>
  <c r="S15" i="30" s="1"/>
  <c r="U8" i="3"/>
  <c r="S7" i="25"/>
  <c r="R7" i="8"/>
  <c r="V17" i="4"/>
  <c r="R23" i="4"/>
  <c r="H33" i="18"/>
  <c r="H34" i="18" s="1"/>
  <c r="C48" i="2" s="1"/>
  <c r="I33" i="18"/>
  <c r="W17" i="4" l="1"/>
  <c r="W6" i="19"/>
  <c r="W6" i="7"/>
  <c r="V6" i="4"/>
  <c r="X7" i="3"/>
  <c r="X21" i="3" s="1"/>
  <c r="W35" i="3"/>
  <c r="W36" i="3" s="1"/>
  <c r="W38" i="3" s="1"/>
  <c r="V6" i="25"/>
  <c r="U6" i="8"/>
  <c r="U10" i="4"/>
  <c r="U13" i="4" s="1"/>
  <c r="U14" i="30"/>
  <c r="U7" i="19"/>
  <c r="U7" i="7"/>
  <c r="T7" i="4"/>
  <c r="T15" i="30" s="1"/>
  <c r="V8" i="3"/>
  <c r="T7" i="25"/>
  <c r="S7" i="8"/>
  <c r="V41" i="7"/>
  <c r="V43" i="7"/>
  <c r="V47" i="7" s="1"/>
  <c r="V14" i="7"/>
  <c r="D48" i="2"/>
  <c r="C52" i="2"/>
  <c r="B16" i="7"/>
  <c r="S23" i="4"/>
  <c r="U28" i="7"/>
  <c r="U33" i="7" s="1"/>
  <c r="U18" i="7"/>
  <c r="G33" i="18"/>
  <c r="V7" i="19" l="1"/>
  <c r="V7" i="7"/>
  <c r="U7" i="4"/>
  <c r="U15" i="30" s="1"/>
  <c r="W8" i="3"/>
  <c r="U7" i="25"/>
  <c r="T7" i="8"/>
  <c r="D52" i="2"/>
  <c r="B17" i="7"/>
  <c r="C60" i="2"/>
  <c r="X6" i="19"/>
  <c r="X6" i="7"/>
  <c r="W6" i="4"/>
  <c r="X35" i="3"/>
  <c r="X36" i="3" s="1"/>
  <c r="X38" i="3" s="1"/>
  <c r="Y7" i="3"/>
  <c r="Y21" i="3" s="1"/>
  <c r="W6" i="25"/>
  <c r="V6" i="8"/>
  <c r="V28" i="7"/>
  <c r="V33" i="7" s="1"/>
  <c r="V18" i="7"/>
  <c r="V10" i="4"/>
  <c r="V13" i="4" s="1"/>
  <c r="V14" i="30"/>
  <c r="X17" i="4"/>
  <c r="W14" i="7"/>
  <c r="W41" i="7"/>
  <c r="W43" i="7"/>
  <c r="W47" i="7" s="1"/>
  <c r="T23" i="4"/>
  <c r="K16" i="7"/>
  <c r="S16" i="7"/>
  <c r="AA16" i="7"/>
  <c r="G16" i="7"/>
  <c r="O16" i="7"/>
  <c r="W16" i="7"/>
  <c r="F16" i="7"/>
  <c r="Q16" i="7"/>
  <c r="AB16" i="7"/>
  <c r="H16" i="7"/>
  <c r="R16" i="7"/>
  <c r="AC16" i="7"/>
  <c r="I16" i="7"/>
  <c r="T16" i="7"/>
  <c r="AD16" i="7"/>
  <c r="J16" i="7"/>
  <c r="U16" i="7"/>
  <c r="AE16" i="7"/>
  <c r="L16" i="7"/>
  <c r="V16" i="7"/>
  <c r="AF16" i="7"/>
  <c r="M16" i="7"/>
  <c r="X16" i="7"/>
  <c r="AG16" i="7"/>
  <c r="E16" i="7"/>
  <c r="P16" i="7"/>
  <c r="Z16" i="7"/>
  <c r="B19" i="7"/>
  <c r="B31" i="7"/>
  <c r="D16" i="7"/>
  <c r="N16" i="7"/>
  <c r="Y16" i="7"/>
  <c r="AH16" i="7"/>
  <c r="B45" i="7"/>
  <c r="D45" i="7" l="1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P19" i="7"/>
  <c r="H19" i="7"/>
  <c r="S19" i="7"/>
  <c r="D17" i="7"/>
  <c r="L17" i="7"/>
  <c r="T17" i="7"/>
  <c r="AB17" i="7"/>
  <c r="E17" i="7"/>
  <c r="M17" i="7"/>
  <c r="U17" i="7"/>
  <c r="U19" i="7" s="1"/>
  <c r="AC17" i="7"/>
  <c r="F17" i="7"/>
  <c r="F19" i="7" s="1"/>
  <c r="N17" i="7"/>
  <c r="V17" i="7"/>
  <c r="AD17" i="7"/>
  <c r="G17" i="7"/>
  <c r="O17" i="7"/>
  <c r="O19" i="7" s="1"/>
  <c r="W17" i="7"/>
  <c r="W19" i="7" s="1"/>
  <c r="AE17" i="7"/>
  <c r="H17" i="7"/>
  <c r="P17" i="7"/>
  <c r="X17" i="7"/>
  <c r="AF17" i="7"/>
  <c r="I17" i="7"/>
  <c r="Q17" i="7"/>
  <c r="Q19" i="7" s="1"/>
  <c r="Y17" i="7"/>
  <c r="AG17" i="7"/>
  <c r="K17" i="7"/>
  <c r="S17" i="7"/>
  <c r="AA17" i="7"/>
  <c r="B32" i="7"/>
  <c r="Z17" i="7"/>
  <c r="AH17" i="7"/>
  <c r="B46" i="7"/>
  <c r="R17" i="7"/>
  <c r="J17" i="7"/>
  <c r="J19" i="7" s="1"/>
  <c r="V45" i="7"/>
  <c r="Y17" i="4"/>
  <c r="N19" i="7"/>
  <c r="D19" i="7"/>
  <c r="D21" i="7" s="1"/>
  <c r="E21" i="7" s="1"/>
  <c r="M19" i="7"/>
  <c r="T19" i="7"/>
  <c r="U23" i="4"/>
  <c r="W10" i="4"/>
  <c r="W13" i="4" s="1"/>
  <c r="W14" i="30"/>
  <c r="W7" i="19"/>
  <c r="W7" i="7"/>
  <c r="V7" i="4"/>
  <c r="V15" i="30" s="1"/>
  <c r="X8" i="3"/>
  <c r="V7" i="25"/>
  <c r="U7" i="8"/>
  <c r="K19" i="7"/>
  <c r="I19" i="7"/>
  <c r="X14" i="7"/>
  <c r="X41" i="7"/>
  <c r="X45" i="7" s="1"/>
  <c r="X43" i="7"/>
  <c r="X47" i="7" s="1"/>
  <c r="Y6" i="19"/>
  <c r="Y6" i="7"/>
  <c r="X6" i="4"/>
  <c r="Z21" i="3"/>
  <c r="Y35" i="3"/>
  <c r="Y36" i="3" s="1"/>
  <c r="Y38" i="3" s="1"/>
  <c r="Z7" i="3"/>
  <c r="X6" i="25"/>
  <c r="W6" i="8"/>
  <c r="D31" i="7"/>
  <c r="L31" i="7"/>
  <c r="E31" i="7"/>
  <c r="M31" i="7"/>
  <c r="U31" i="7"/>
  <c r="AC31" i="7"/>
  <c r="F31" i="7"/>
  <c r="N31" i="7"/>
  <c r="V31" i="7"/>
  <c r="AD31" i="7"/>
  <c r="G31" i="7"/>
  <c r="O31" i="7"/>
  <c r="W31" i="7"/>
  <c r="AE31" i="7"/>
  <c r="H31" i="7"/>
  <c r="P31" i="7"/>
  <c r="X31" i="7"/>
  <c r="AF31" i="7"/>
  <c r="I31" i="7"/>
  <c r="Q31" i="7"/>
  <c r="Y31" i="7"/>
  <c r="AG31" i="7"/>
  <c r="K31" i="7"/>
  <c r="S31" i="7"/>
  <c r="AA31" i="7"/>
  <c r="B34" i="7"/>
  <c r="R31" i="7"/>
  <c r="T31" i="7"/>
  <c r="Z31" i="7"/>
  <c r="AB31" i="7"/>
  <c r="AH31" i="7"/>
  <c r="J31" i="7"/>
  <c r="B21" i="7"/>
  <c r="V19" i="7"/>
  <c r="G19" i="7"/>
  <c r="W45" i="7"/>
  <c r="E19" i="7"/>
  <c r="L19" i="7"/>
  <c r="R19" i="7"/>
  <c r="W28" i="7"/>
  <c r="W33" i="7" s="1"/>
  <c r="W18" i="7"/>
  <c r="B41" i="2"/>
  <c r="B45" i="2"/>
  <c r="B39" i="2"/>
  <c r="B56" i="2"/>
  <c r="B42" i="2"/>
  <c r="B46" i="2"/>
  <c r="C18" i="19"/>
  <c r="C20" i="19" s="1"/>
  <c r="C25" i="19" s="1"/>
  <c r="C12" i="2"/>
  <c r="C11" i="2" s="1"/>
  <c r="B20" i="2"/>
  <c r="B57" i="2"/>
  <c r="D60" i="2"/>
  <c r="B32" i="2"/>
  <c r="B43" i="2"/>
  <c r="B47" i="2"/>
  <c r="B49" i="2"/>
  <c r="B21" i="2"/>
  <c r="B44" i="2"/>
  <c r="B23" i="2"/>
  <c r="B31" i="2"/>
  <c r="B55" i="2"/>
  <c r="B58" i="2" s="1"/>
  <c r="B40" i="2"/>
  <c r="B27" i="2"/>
  <c r="C15" i="29"/>
  <c r="AG51" i="25"/>
  <c r="W51" i="25" s="1"/>
  <c r="C3" i="30"/>
  <c r="B25" i="2"/>
  <c r="B51" i="2"/>
  <c r="B28" i="2"/>
  <c r="B24" i="2"/>
  <c r="B50" i="2"/>
  <c r="B29" i="2"/>
  <c r="B33" i="2"/>
  <c r="B38" i="2"/>
  <c r="B22" i="2"/>
  <c r="B26" i="2"/>
  <c r="B30" i="2"/>
  <c r="B48" i="2"/>
  <c r="F21" i="7" l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B11" i="2"/>
  <c r="D41" i="19"/>
  <c r="L41" i="19"/>
  <c r="T41" i="19"/>
  <c r="AB41" i="19"/>
  <c r="E41" i="19"/>
  <c r="M41" i="19"/>
  <c r="U41" i="19"/>
  <c r="AC41" i="19"/>
  <c r="D11" i="2"/>
  <c r="F41" i="19"/>
  <c r="N41" i="19"/>
  <c r="V41" i="19"/>
  <c r="AD41" i="19"/>
  <c r="H48" i="2"/>
  <c r="G41" i="19"/>
  <c r="O41" i="19"/>
  <c r="W41" i="19"/>
  <c r="AE41" i="19"/>
  <c r="H41" i="19"/>
  <c r="P41" i="19"/>
  <c r="X41" i="19"/>
  <c r="AF41" i="19"/>
  <c r="C14" i="2"/>
  <c r="C41" i="19"/>
  <c r="C43" i="19" s="1"/>
  <c r="C45" i="19" s="1"/>
  <c r="C47" i="19" s="1"/>
  <c r="Z41" i="19"/>
  <c r="I41" i="19"/>
  <c r="AA41" i="19"/>
  <c r="J41" i="19"/>
  <c r="AG41" i="19"/>
  <c r="K41" i="19"/>
  <c r="AH41" i="19"/>
  <c r="Q41" i="19"/>
  <c r="Y41" i="19"/>
  <c r="H47" i="2"/>
  <c r="R41" i="19"/>
  <c r="S41" i="19"/>
  <c r="B36" i="25"/>
  <c r="B38" i="25" s="1"/>
  <c r="B25" i="25"/>
  <c r="B49" i="25"/>
  <c r="B52" i="25" s="1"/>
  <c r="B56" i="25"/>
  <c r="B59" i="25" s="1"/>
  <c r="B42" i="25"/>
  <c r="B45" i="25" s="1"/>
  <c r="P46" i="7"/>
  <c r="X46" i="7"/>
  <c r="AF46" i="7"/>
  <c r="Q46" i="7"/>
  <c r="Y46" i="7"/>
  <c r="AG46" i="7"/>
  <c r="K46" i="7"/>
  <c r="K48" i="7" s="1"/>
  <c r="J34" i="4" s="1"/>
  <c r="I11" i="8" s="1"/>
  <c r="S46" i="7"/>
  <c r="S48" i="7" s="1"/>
  <c r="R34" i="4" s="1"/>
  <c r="Q11" i="8" s="1"/>
  <c r="AA46" i="7"/>
  <c r="L46" i="7"/>
  <c r="T46" i="7"/>
  <c r="AB46" i="7"/>
  <c r="M46" i="7"/>
  <c r="U46" i="7"/>
  <c r="AC46" i="7"/>
  <c r="O46" i="7"/>
  <c r="O48" i="7" s="1"/>
  <c r="N34" i="4" s="1"/>
  <c r="M11" i="8" s="1"/>
  <c r="W46" i="7"/>
  <c r="AE46" i="7"/>
  <c r="F46" i="7"/>
  <c r="N46" i="7"/>
  <c r="V46" i="7"/>
  <c r="AD46" i="7"/>
  <c r="AH46" i="7"/>
  <c r="Z46" i="7"/>
  <c r="R46" i="7"/>
  <c r="J46" i="7"/>
  <c r="G46" i="7"/>
  <c r="E46" i="7"/>
  <c r="H46" i="7"/>
  <c r="D46" i="7"/>
  <c r="I46" i="7"/>
  <c r="I48" i="7" s="1"/>
  <c r="H34" i="4" s="1"/>
  <c r="G11" i="8" s="1"/>
  <c r="P48" i="7"/>
  <c r="O34" i="4" s="1"/>
  <c r="N11" i="8" s="1"/>
  <c r="W48" i="7"/>
  <c r="V34" i="4" s="1"/>
  <c r="U11" i="8" s="1"/>
  <c r="Z6" i="19"/>
  <c r="Z6" i="7"/>
  <c r="Y6" i="4"/>
  <c r="Z35" i="3"/>
  <c r="Z36" i="3" s="1"/>
  <c r="Z38" i="3" s="1"/>
  <c r="Y6" i="25"/>
  <c r="AA7" i="3"/>
  <c r="AA21" i="3" s="1"/>
  <c r="X6" i="8"/>
  <c r="W34" i="7"/>
  <c r="U12" i="8" s="1"/>
  <c r="Q48" i="7"/>
  <c r="P34" i="4" s="1"/>
  <c r="O11" i="8" s="1"/>
  <c r="I34" i="7"/>
  <c r="G12" i="8" s="1"/>
  <c r="V48" i="7"/>
  <c r="U34" i="4" s="1"/>
  <c r="T11" i="8" s="1"/>
  <c r="C66" i="2"/>
  <c r="C16" i="29"/>
  <c r="B36" i="7"/>
  <c r="N48" i="7"/>
  <c r="M34" i="4" s="1"/>
  <c r="L11" i="8" s="1"/>
  <c r="F48" i="7"/>
  <c r="E34" i="4" s="1"/>
  <c r="D11" i="8" s="1"/>
  <c r="O34" i="7"/>
  <c r="M12" i="8" s="1"/>
  <c r="H48" i="7"/>
  <c r="G34" i="4" s="1"/>
  <c r="F11" i="8" s="1"/>
  <c r="X10" i="4"/>
  <c r="X13" i="4" s="1"/>
  <c r="X14" i="30"/>
  <c r="Y14" i="7"/>
  <c r="Y41" i="7"/>
  <c r="Y45" i="7" s="1"/>
  <c r="Y48" i="7" s="1"/>
  <c r="X34" i="4" s="1"/>
  <c r="W11" i="8" s="1"/>
  <c r="Y43" i="7"/>
  <c r="Y47" i="7" s="1"/>
  <c r="V34" i="7"/>
  <c r="T12" i="8" s="1"/>
  <c r="D34" i="7"/>
  <c r="B12" i="8" s="1"/>
  <c r="M32" i="7"/>
  <c r="U32" i="7"/>
  <c r="U34" i="7" s="1"/>
  <c r="S12" i="8" s="1"/>
  <c r="AC32" i="7"/>
  <c r="F32" i="7"/>
  <c r="N32" i="7"/>
  <c r="N34" i="7" s="1"/>
  <c r="L12" i="8" s="1"/>
  <c r="V32" i="7"/>
  <c r="AD32" i="7"/>
  <c r="O32" i="7"/>
  <c r="W32" i="7"/>
  <c r="AE32" i="7"/>
  <c r="P32" i="7"/>
  <c r="P34" i="7" s="1"/>
  <c r="N12" i="8" s="1"/>
  <c r="X32" i="7"/>
  <c r="X34" i="7" s="1"/>
  <c r="V12" i="8" s="1"/>
  <c r="AF32" i="7"/>
  <c r="Q32" i="7"/>
  <c r="Y32" i="7"/>
  <c r="AG32" i="7"/>
  <c r="K32" i="7"/>
  <c r="S32" i="7"/>
  <c r="S34" i="7" s="1"/>
  <c r="Q12" i="8" s="1"/>
  <c r="AA32" i="7"/>
  <c r="R32" i="7"/>
  <c r="T32" i="7"/>
  <c r="T34" i="7" s="1"/>
  <c r="R12" i="8" s="1"/>
  <c r="Z32" i="7"/>
  <c r="AB32" i="7"/>
  <c r="AH32" i="7"/>
  <c r="L32" i="7"/>
  <c r="L34" i="7" s="1"/>
  <c r="J12" i="8" s="1"/>
  <c r="J32" i="7"/>
  <c r="H32" i="7"/>
  <c r="H34" i="7" s="1"/>
  <c r="F12" i="8" s="1"/>
  <c r="E32" i="7"/>
  <c r="G32" i="7"/>
  <c r="G34" i="7" s="1"/>
  <c r="E12" i="8" s="1"/>
  <c r="D32" i="7"/>
  <c r="I32" i="7"/>
  <c r="U48" i="7"/>
  <c r="T34" i="4" s="1"/>
  <c r="S11" i="8" s="1"/>
  <c r="M48" i="7"/>
  <c r="L34" i="4" s="1"/>
  <c r="K11" i="8" s="1"/>
  <c r="E48" i="7"/>
  <c r="D34" i="4" s="1"/>
  <c r="C11" i="8" s="1"/>
  <c r="Q34" i="7"/>
  <c r="O12" i="8" s="1"/>
  <c r="Z17" i="4"/>
  <c r="B52" i="2"/>
  <c r="B60" i="2" s="1"/>
  <c r="C4" i="30"/>
  <c r="B34" i="2"/>
  <c r="J34" i="7"/>
  <c r="H12" i="8" s="1"/>
  <c r="T48" i="7"/>
  <c r="S34" i="4" s="1"/>
  <c r="R11" i="8" s="1"/>
  <c r="L48" i="7"/>
  <c r="K34" i="4" s="1"/>
  <c r="J11" i="8" s="1"/>
  <c r="D48" i="7"/>
  <c r="M34" i="7"/>
  <c r="K12" i="8" s="1"/>
  <c r="E34" i="7"/>
  <c r="C12" i="8" s="1"/>
  <c r="G48" i="7"/>
  <c r="F34" i="4" s="1"/>
  <c r="E11" i="8" s="1"/>
  <c r="D12" i="2"/>
  <c r="B33" i="6"/>
  <c r="C34" i="19"/>
  <c r="C37" i="19" s="1"/>
  <c r="K34" i="7"/>
  <c r="I12" i="8" s="1"/>
  <c r="F34" i="7"/>
  <c r="D12" i="8" s="1"/>
  <c r="X48" i="7"/>
  <c r="W34" i="4" s="1"/>
  <c r="V11" i="8" s="1"/>
  <c r="X7" i="19"/>
  <c r="X7" i="7"/>
  <c r="Y8" i="3"/>
  <c r="W7" i="4"/>
  <c r="W15" i="30" s="1"/>
  <c r="W7" i="25"/>
  <c r="V7" i="8"/>
  <c r="V23" i="4"/>
  <c r="B48" i="7"/>
  <c r="R34" i="7"/>
  <c r="P12" i="8" s="1"/>
  <c r="X18" i="7"/>
  <c r="X19" i="7" s="1"/>
  <c r="X28" i="7"/>
  <c r="X33" i="7" s="1"/>
  <c r="R48" i="7"/>
  <c r="Q34" i="4" s="1"/>
  <c r="P11" i="8" s="1"/>
  <c r="J48" i="7"/>
  <c r="I34" i="4" s="1"/>
  <c r="H11" i="8" s="1"/>
  <c r="AA17" i="4" l="1"/>
  <c r="Y28" i="7"/>
  <c r="Y33" i="7" s="1"/>
  <c r="Y34" i="7" s="1"/>
  <c r="W12" i="8" s="1"/>
  <c r="Y18" i="7"/>
  <c r="Y19" i="7" s="1"/>
  <c r="D17" i="30"/>
  <c r="L17" i="30"/>
  <c r="T17" i="30"/>
  <c r="AB17" i="30"/>
  <c r="C16" i="30"/>
  <c r="E17" i="30"/>
  <c r="M17" i="30"/>
  <c r="U17" i="30"/>
  <c r="AC17" i="30"/>
  <c r="F17" i="30"/>
  <c r="N17" i="30"/>
  <c r="V17" i="30"/>
  <c r="AD17" i="30"/>
  <c r="G17" i="30"/>
  <c r="O17" i="30"/>
  <c r="W17" i="30"/>
  <c r="AE17" i="30"/>
  <c r="H17" i="30"/>
  <c r="P17" i="30"/>
  <c r="X17" i="30"/>
  <c r="AF17" i="30"/>
  <c r="I17" i="30"/>
  <c r="Q17" i="30"/>
  <c r="Y17" i="30"/>
  <c r="C17" i="30"/>
  <c r="K17" i="30"/>
  <c r="S17" i="30"/>
  <c r="AA17" i="30"/>
  <c r="J17" i="30"/>
  <c r="Z17" i="30"/>
  <c r="R17" i="30"/>
  <c r="D14" i="2"/>
  <c r="B14" i="2"/>
  <c r="Z14" i="7"/>
  <c r="Z41" i="7"/>
  <c r="Z45" i="7" s="1"/>
  <c r="Z48" i="7" s="1"/>
  <c r="Y34" i="4" s="1"/>
  <c r="X11" i="8" s="1"/>
  <c r="Z43" i="7"/>
  <c r="Z47" i="7" s="1"/>
  <c r="J19" i="19"/>
  <c r="R19" i="19"/>
  <c r="Z19" i="19"/>
  <c r="K19" i="19"/>
  <c r="S19" i="19"/>
  <c r="D19" i="19"/>
  <c r="L19" i="19"/>
  <c r="T19" i="19"/>
  <c r="E19" i="19"/>
  <c r="M19" i="19"/>
  <c r="U19" i="19"/>
  <c r="F19" i="19"/>
  <c r="N19" i="19"/>
  <c r="V19" i="19"/>
  <c r="O19" i="19"/>
  <c r="P19" i="19"/>
  <c r="Q19" i="19"/>
  <c r="W19" i="19"/>
  <c r="X19" i="19"/>
  <c r="I19" i="19"/>
  <c r="Y19" i="19"/>
  <c r="H19" i="19"/>
  <c r="G19" i="19"/>
  <c r="C34" i="4"/>
  <c r="B11" i="8" s="1"/>
  <c r="C10" i="30"/>
  <c r="B29" i="25"/>
  <c r="C25" i="25" s="1"/>
  <c r="C26" i="25"/>
  <c r="X21" i="7"/>
  <c r="Y21" i="7" s="1"/>
  <c r="Y10" i="4"/>
  <c r="Y13" i="4" s="1"/>
  <c r="Y14" i="30"/>
  <c r="AA6" i="19"/>
  <c r="AA6" i="7"/>
  <c r="Z6" i="4"/>
  <c r="AB21" i="3"/>
  <c r="AB7" i="3"/>
  <c r="Z6" i="25"/>
  <c r="AA35" i="3"/>
  <c r="AA36" i="3" s="1"/>
  <c r="AA38" i="3" s="1"/>
  <c r="Y6" i="8"/>
  <c r="W23" i="4"/>
  <c r="I18" i="19"/>
  <c r="Q18" i="19"/>
  <c r="Q20" i="19" s="1"/>
  <c r="Q25" i="19" s="1"/>
  <c r="Y18" i="19"/>
  <c r="Y20" i="19" s="1"/>
  <c r="Y25" i="19" s="1"/>
  <c r="AG18" i="19"/>
  <c r="J18" i="19"/>
  <c r="J20" i="19" s="1"/>
  <c r="J25" i="19" s="1"/>
  <c r="R18" i="19"/>
  <c r="R20" i="19" s="1"/>
  <c r="R25" i="19" s="1"/>
  <c r="Z18" i="19"/>
  <c r="AH18" i="19"/>
  <c r="K18" i="19"/>
  <c r="K20" i="19" s="1"/>
  <c r="K25" i="19" s="1"/>
  <c r="S18" i="19"/>
  <c r="S20" i="19" s="1"/>
  <c r="S25" i="19" s="1"/>
  <c r="AA18" i="19"/>
  <c r="D18" i="19"/>
  <c r="L18" i="19"/>
  <c r="L20" i="19" s="1"/>
  <c r="L25" i="19" s="1"/>
  <c r="T18" i="19"/>
  <c r="T20" i="19" s="1"/>
  <c r="T25" i="19" s="1"/>
  <c r="AB18" i="19"/>
  <c r="E18" i="19"/>
  <c r="E20" i="19" s="1"/>
  <c r="E25" i="19" s="1"/>
  <c r="M18" i="19"/>
  <c r="M20" i="19" s="1"/>
  <c r="M25" i="19" s="1"/>
  <c r="U18" i="19"/>
  <c r="U20" i="19" s="1"/>
  <c r="U25" i="19" s="1"/>
  <c r="AC18" i="19"/>
  <c r="W18" i="19"/>
  <c r="F18" i="19"/>
  <c r="F20" i="19" s="1"/>
  <c r="F25" i="19" s="1"/>
  <c r="X18" i="19"/>
  <c r="X20" i="19" s="1"/>
  <c r="X25" i="19" s="1"/>
  <c r="G18" i="19"/>
  <c r="G20" i="19" s="1"/>
  <c r="G25" i="19" s="1"/>
  <c r="AD18" i="19"/>
  <c r="H18" i="19"/>
  <c r="H20" i="19" s="1"/>
  <c r="H25" i="19" s="1"/>
  <c r="AE18" i="19"/>
  <c r="N18" i="19"/>
  <c r="N20" i="19" s="1"/>
  <c r="N25" i="19" s="1"/>
  <c r="AF18" i="19"/>
  <c r="V18" i="19"/>
  <c r="V20" i="19" s="1"/>
  <c r="V25" i="19" s="1"/>
  <c r="O18" i="19"/>
  <c r="O20" i="19" s="1"/>
  <c r="O25" i="19" s="1"/>
  <c r="P18" i="19"/>
  <c r="P20" i="19" s="1"/>
  <c r="P25" i="19" s="1"/>
  <c r="B50" i="7"/>
  <c r="D50" i="7"/>
  <c r="Y7" i="19"/>
  <c r="Y7" i="7"/>
  <c r="X7" i="4"/>
  <c r="X15" i="30" s="1"/>
  <c r="Z8" i="3"/>
  <c r="X7" i="25"/>
  <c r="W7" i="8"/>
  <c r="B36" i="6"/>
  <c r="E67" i="6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AB17" i="4" l="1"/>
  <c r="Z7" i="19"/>
  <c r="Z7" i="7"/>
  <c r="Y7" i="4"/>
  <c r="Y15" i="30" s="1"/>
  <c r="AA8" i="3"/>
  <c r="Y7" i="25"/>
  <c r="X7" i="8"/>
  <c r="Z20" i="19"/>
  <c r="Z25" i="19" s="1"/>
  <c r="Z18" i="7"/>
  <c r="Z19" i="7" s="1"/>
  <c r="Z28" i="7"/>
  <c r="Z33" i="7" s="1"/>
  <c r="Z34" i="7" s="1"/>
  <c r="X12" i="8" s="1"/>
  <c r="X23" i="4"/>
  <c r="W20" i="19"/>
  <c r="W25" i="19" s="1"/>
  <c r="D20" i="19"/>
  <c r="D25" i="19" s="1"/>
  <c r="AB6" i="19"/>
  <c r="AB6" i="7"/>
  <c r="AA6" i="4"/>
  <c r="AC7" i="3"/>
  <c r="AB35" i="3"/>
  <c r="AB36" i="3" s="1"/>
  <c r="AB38" i="3" s="1"/>
  <c r="AA6" i="25"/>
  <c r="AC21" i="3"/>
  <c r="Z6" i="8"/>
  <c r="C18" i="30"/>
  <c r="C38" i="4" s="1"/>
  <c r="C12" i="25" s="1"/>
  <c r="Z10" i="4"/>
  <c r="Z13" i="4" s="1"/>
  <c r="Z14" i="30"/>
  <c r="Z21" i="7"/>
  <c r="Z36" i="7"/>
  <c r="B49" i="6"/>
  <c r="I20" i="19"/>
  <c r="I25" i="19" s="1"/>
  <c r="AA14" i="7"/>
  <c r="AA43" i="7"/>
  <c r="AA47" i="7" s="1"/>
  <c r="AA41" i="7"/>
  <c r="AA45" i="7" s="1"/>
  <c r="E50" i="7"/>
  <c r="C24" i="4"/>
  <c r="C19" i="30"/>
  <c r="C16" i="25" s="1"/>
  <c r="AA48" i="7" l="1"/>
  <c r="D16" i="30"/>
  <c r="AC6" i="19"/>
  <c r="AC6" i="7"/>
  <c r="AB6" i="4"/>
  <c r="AD7" i="3"/>
  <c r="AC35" i="3"/>
  <c r="AC36" i="3" s="1"/>
  <c r="AC38" i="3" s="1"/>
  <c r="AB6" i="25"/>
  <c r="AA6" i="8"/>
  <c r="AA10" i="4"/>
  <c r="AA13" i="4" s="1"/>
  <c r="AA14" i="30"/>
  <c r="AC17" i="4"/>
  <c r="F50" i="7"/>
  <c r="D24" i="4"/>
  <c r="D30" i="4" s="1"/>
  <c r="D32" i="4" s="1"/>
  <c r="AB14" i="7"/>
  <c r="AB41" i="7"/>
  <c r="AB45" i="7" s="1"/>
  <c r="AB43" i="7"/>
  <c r="AB47" i="7" s="1"/>
  <c r="AA18" i="7"/>
  <c r="AA19" i="7" s="1"/>
  <c r="AA21" i="7" s="1"/>
  <c r="AA28" i="7"/>
  <c r="AA33" i="7" s="1"/>
  <c r="AA34" i="7" s="1"/>
  <c r="Y12" i="8" s="1"/>
  <c r="Y23" i="4"/>
  <c r="N31" i="2"/>
  <c r="O31" i="2" s="1"/>
  <c r="C30" i="4"/>
  <c r="C32" i="4" s="1"/>
  <c r="AA36" i="7"/>
  <c r="AA7" i="19"/>
  <c r="AA7" i="7"/>
  <c r="Z7" i="4"/>
  <c r="Z15" i="30" s="1"/>
  <c r="AB8" i="3"/>
  <c r="Z7" i="25"/>
  <c r="Y7" i="8"/>
  <c r="AB21" i="7" l="1"/>
  <c r="AD17" i="4"/>
  <c r="AD6" i="19"/>
  <c r="AD6" i="7"/>
  <c r="AC6" i="4"/>
  <c r="AE7" i="3"/>
  <c r="AE21" i="3" s="1"/>
  <c r="AD35" i="3"/>
  <c r="AD36" i="3" s="1"/>
  <c r="AD38" i="3" s="1"/>
  <c r="AC6" i="25"/>
  <c r="AB6" i="8"/>
  <c r="AB18" i="7"/>
  <c r="AB19" i="7" s="1"/>
  <c r="AB28" i="7"/>
  <c r="AB33" i="7" s="1"/>
  <c r="AB34" i="7" s="1"/>
  <c r="Z12" i="8" s="1"/>
  <c r="AB48" i="7"/>
  <c r="AA34" i="4" s="1"/>
  <c r="Z11" i="8" s="1"/>
  <c r="AB7" i="19"/>
  <c r="AB7" i="7"/>
  <c r="AA7" i="4"/>
  <c r="AA15" i="30" s="1"/>
  <c r="AC8" i="3"/>
  <c r="AA7" i="25"/>
  <c r="Z7" i="8"/>
  <c r="D18" i="30"/>
  <c r="C75" i="2"/>
  <c r="D36" i="4"/>
  <c r="D11" i="25"/>
  <c r="D21" i="30"/>
  <c r="C29" i="6"/>
  <c r="C38" i="6"/>
  <c r="B75" i="2"/>
  <c r="C36" i="4"/>
  <c r="C40" i="4" s="1"/>
  <c r="C11" i="25"/>
  <c r="C13" i="25" s="1"/>
  <c r="C21" i="30"/>
  <c r="C22" i="30" s="1"/>
  <c r="B38" i="6"/>
  <c r="Z23" i="4"/>
  <c r="AB10" i="4"/>
  <c r="AB13" i="4" s="1"/>
  <c r="AB14" i="30"/>
  <c r="AC14" i="7"/>
  <c r="AC41" i="7"/>
  <c r="AC45" i="7" s="1"/>
  <c r="AC48" i="7" s="1"/>
  <c r="AB34" i="4" s="1"/>
  <c r="AA11" i="8" s="1"/>
  <c r="AC43" i="7"/>
  <c r="AC47" i="7" s="1"/>
  <c r="G50" i="7"/>
  <c r="E24" i="4"/>
  <c r="E30" i="4" s="1"/>
  <c r="E32" i="4" s="1"/>
  <c r="AD21" i="3"/>
  <c r="Z34" i="4"/>
  <c r="Y11" i="8" s="1"/>
  <c r="AB19" i="19"/>
  <c r="AB20" i="19" s="1"/>
  <c r="AB25" i="19" s="1"/>
  <c r="AA19" i="19"/>
  <c r="AA20" i="19" s="1"/>
  <c r="AA25" i="19" s="1"/>
  <c r="AC28" i="7" l="1"/>
  <c r="AC33" i="7" s="1"/>
  <c r="AC34" i="7" s="1"/>
  <c r="AA12" i="8" s="1"/>
  <c r="AC18" i="7"/>
  <c r="AC19" i="7" s="1"/>
  <c r="AC21" i="7" s="1"/>
  <c r="B77" i="2"/>
  <c r="AE6" i="19"/>
  <c r="AE6" i="7"/>
  <c r="AF7" i="3"/>
  <c r="AD6" i="4"/>
  <c r="AF21" i="3"/>
  <c r="AE35" i="3"/>
  <c r="AE36" i="3" s="1"/>
  <c r="AE38" i="3" s="1"/>
  <c r="AD6" i="25"/>
  <c r="AC6" i="8"/>
  <c r="AC10" i="4"/>
  <c r="AC13" i="4" s="1"/>
  <c r="AC14" i="30"/>
  <c r="D75" i="2"/>
  <c r="D38" i="6"/>
  <c r="E36" i="4"/>
  <c r="E11" i="25"/>
  <c r="E21" i="30"/>
  <c r="D29" i="6"/>
  <c r="D11" i="6" s="1"/>
  <c r="D13" i="6" s="1"/>
  <c r="C11" i="6"/>
  <c r="C13" i="6" s="1"/>
  <c r="C42" i="4"/>
  <c r="C43" i="4"/>
  <c r="C45" i="4"/>
  <c r="B10" i="8"/>
  <c r="B13" i="8" s="1"/>
  <c r="AB36" i="7"/>
  <c r="AC36" i="7" s="1"/>
  <c r="AD14" i="7"/>
  <c r="AD41" i="7"/>
  <c r="AD45" i="7" s="1"/>
  <c r="AD48" i="7" s="1"/>
  <c r="AC34" i="4" s="1"/>
  <c r="AB11" i="8" s="1"/>
  <c r="AD43" i="7"/>
  <c r="AD47" i="7" s="1"/>
  <c r="AC19" i="19"/>
  <c r="AC20" i="19" s="1"/>
  <c r="AC25" i="19" s="1"/>
  <c r="H50" i="7"/>
  <c r="F24" i="4"/>
  <c r="F30" i="4" s="1"/>
  <c r="F32" i="4" s="1"/>
  <c r="AA23" i="4"/>
  <c r="D22" i="30"/>
  <c r="D38" i="4"/>
  <c r="D12" i="25" s="1"/>
  <c r="D19" i="30"/>
  <c r="B11" i="6"/>
  <c r="B13" i="6" s="1"/>
  <c r="B37" i="6" s="1"/>
  <c r="D13" i="25"/>
  <c r="AC7" i="19"/>
  <c r="AC7" i="7"/>
  <c r="AB7" i="4"/>
  <c r="AB15" i="30" s="1"/>
  <c r="AD8" i="3"/>
  <c r="AB7" i="25"/>
  <c r="AA7" i="8"/>
  <c r="AE17" i="4"/>
  <c r="AF17" i="4" l="1"/>
  <c r="B42" i="6"/>
  <c r="B35" i="6"/>
  <c r="B39" i="6" s="1"/>
  <c r="AD28" i="7"/>
  <c r="AD33" i="7" s="1"/>
  <c r="AD34" i="7" s="1"/>
  <c r="AB12" i="8" s="1"/>
  <c r="AD18" i="7"/>
  <c r="AD19" i="7" s="1"/>
  <c r="AD21" i="7" s="1"/>
  <c r="AB23" i="4"/>
  <c r="AD36" i="7"/>
  <c r="D16" i="25"/>
  <c r="E16" i="30"/>
  <c r="AD10" i="4"/>
  <c r="AD13" i="4" s="1"/>
  <c r="AD14" i="30"/>
  <c r="AD7" i="19"/>
  <c r="AD7" i="7"/>
  <c r="AC7" i="4"/>
  <c r="AC15" i="30" s="1"/>
  <c r="AE8" i="3"/>
  <c r="AC7" i="25"/>
  <c r="AB7" i="8"/>
  <c r="B28" i="8"/>
  <c r="B16" i="8"/>
  <c r="B24" i="8"/>
  <c r="I50" i="7"/>
  <c r="G24" i="4"/>
  <c r="G30" i="4" s="1"/>
  <c r="G32" i="4" s="1"/>
  <c r="D40" i="4"/>
  <c r="AD19" i="19"/>
  <c r="AD20" i="19" s="1"/>
  <c r="AD25" i="19" s="1"/>
  <c r="AF6" i="19"/>
  <c r="AF6" i="7"/>
  <c r="AE6" i="4"/>
  <c r="AG21" i="3"/>
  <c r="AF35" i="3"/>
  <c r="AF36" i="3" s="1"/>
  <c r="AF38" i="3" s="1"/>
  <c r="AG7" i="3"/>
  <c r="AE6" i="25"/>
  <c r="AD6" i="8"/>
  <c r="E29" i="6"/>
  <c r="F36" i="4"/>
  <c r="F11" i="25"/>
  <c r="F21" i="30"/>
  <c r="E38" i="6"/>
  <c r="D42" i="19"/>
  <c r="D43" i="19" s="1"/>
  <c r="B76" i="2"/>
  <c r="C77" i="2"/>
  <c r="AE14" i="7"/>
  <c r="AE41" i="7"/>
  <c r="AE45" i="7" s="1"/>
  <c r="AE43" i="7"/>
  <c r="AE47" i="7" s="1"/>
  <c r="AE21" i="7" l="1"/>
  <c r="AE28" i="7"/>
  <c r="AE33" i="7" s="1"/>
  <c r="AE34" i="7" s="1"/>
  <c r="AC12" i="8" s="1"/>
  <c r="AE18" i="7"/>
  <c r="AE19" i="7" s="1"/>
  <c r="AG6" i="19"/>
  <c r="AG6" i="7"/>
  <c r="AF6" i="4"/>
  <c r="AH21" i="3"/>
  <c r="AG35" i="3"/>
  <c r="AG36" i="3" s="1"/>
  <c r="AG38" i="3" s="1"/>
  <c r="AH7" i="3"/>
  <c r="AF6" i="25"/>
  <c r="AE6" i="8"/>
  <c r="G11" i="25"/>
  <c r="G36" i="4"/>
  <c r="G21" i="30"/>
  <c r="F29" i="6"/>
  <c r="F38" i="6"/>
  <c r="E18" i="30"/>
  <c r="AE10" i="4"/>
  <c r="AE13" i="4" s="1"/>
  <c r="AE14" i="30"/>
  <c r="B21" i="8"/>
  <c r="B19" i="8"/>
  <c r="B44" i="6"/>
  <c r="B57" i="6" s="1"/>
  <c r="B45" i="6"/>
  <c r="C24" i="6" s="1"/>
  <c r="AE36" i="7"/>
  <c r="E11" i="6"/>
  <c r="E13" i="6" s="1"/>
  <c r="AF14" i="7"/>
  <c r="AF41" i="7"/>
  <c r="AF45" i="7" s="1"/>
  <c r="AF48" i="7" s="1"/>
  <c r="AE34" i="4" s="1"/>
  <c r="AD11" i="8" s="1"/>
  <c r="AF43" i="7"/>
  <c r="AF47" i="7" s="1"/>
  <c r="B30" i="8"/>
  <c r="J50" i="7"/>
  <c r="H24" i="4"/>
  <c r="H30" i="4" s="1"/>
  <c r="H32" i="4" s="1"/>
  <c r="B29" i="8"/>
  <c r="AC23" i="4"/>
  <c r="AG17" i="4"/>
  <c r="B56" i="6"/>
  <c r="B48" i="6"/>
  <c r="B50" i="6" s="1"/>
  <c r="B52" i="6" s="1"/>
  <c r="AE48" i="7"/>
  <c r="D42" i="4"/>
  <c r="C10" i="8"/>
  <c r="C13" i="8" s="1"/>
  <c r="AE7" i="19"/>
  <c r="AE7" i="7"/>
  <c r="AD7" i="4"/>
  <c r="AD15" i="30" s="1"/>
  <c r="AF8" i="3"/>
  <c r="AD7" i="25"/>
  <c r="AC7" i="8"/>
  <c r="D45" i="4" l="1"/>
  <c r="B41" i="8"/>
  <c r="C15" i="25" s="1"/>
  <c r="B33" i="8"/>
  <c r="B22" i="8"/>
  <c r="C18" i="8" s="1"/>
  <c r="F11" i="6"/>
  <c r="F13" i="6" s="1"/>
  <c r="AF7" i="19"/>
  <c r="AF7" i="7"/>
  <c r="AE7" i="4"/>
  <c r="AE15" i="30" s="1"/>
  <c r="AG8" i="3"/>
  <c r="AE7" i="25"/>
  <c r="AD7" i="8"/>
  <c r="AF18" i="7"/>
  <c r="AF19" i="7" s="1"/>
  <c r="AF28" i="7"/>
  <c r="AF33" i="7" s="1"/>
  <c r="AF34" i="7" s="1"/>
  <c r="AD12" i="8" s="1"/>
  <c r="AD34" i="4"/>
  <c r="AC11" i="8" s="1"/>
  <c r="AF19" i="19"/>
  <c r="AF20" i="19" s="1"/>
  <c r="AF25" i="19" s="1"/>
  <c r="AE19" i="19"/>
  <c r="AE20" i="19" s="1"/>
  <c r="AE25" i="19" s="1"/>
  <c r="AF10" i="4"/>
  <c r="AF13" i="4" s="1"/>
  <c r="AF14" i="30"/>
  <c r="AG14" i="7"/>
  <c r="AG43" i="7"/>
  <c r="AG47" i="7" s="1"/>
  <c r="AG41" i="7"/>
  <c r="AG45" i="7" s="1"/>
  <c r="D43" i="4"/>
  <c r="AF36" i="7"/>
  <c r="AD23" i="4"/>
  <c r="C28" i="8"/>
  <c r="C16" i="8"/>
  <c r="C24" i="8"/>
  <c r="H36" i="4"/>
  <c r="H11" i="25"/>
  <c r="H21" i="30"/>
  <c r="G29" i="6"/>
  <c r="G11" i="6" s="1"/>
  <c r="G13" i="6" s="1"/>
  <c r="G38" i="6"/>
  <c r="E38" i="4"/>
  <c r="E19" i="30"/>
  <c r="B58" i="6"/>
  <c r="K50" i="7"/>
  <c r="I24" i="4"/>
  <c r="I30" i="4" s="1"/>
  <c r="I32" i="4" s="1"/>
  <c r="C27" i="6"/>
  <c r="AH6" i="19"/>
  <c r="AH6" i="7"/>
  <c r="AG6" i="4"/>
  <c r="AG10" i="4" s="1"/>
  <c r="AG13" i="4" s="1"/>
  <c r="AH35" i="3"/>
  <c r="AH36" i="3" s="1"/>
  <c r="AH38" i="3" s="1"/>
  <c r="AG6" i="25"/>
  <c r="AF6" i="8"/>
  <c r="AF21" i="7"/>
  <c r="AE23" i="4" l="1"/>
  <c r="E42" i="19"/>
  <c r="E43" i="19" s="1"/>
  <c r="C76" i="2"/>
  <c r="H38" i="6"/>
  <c r="I36" i="4"/>
  <c r="I11" i="25"/>
  <c r="I21" i="30"/>
  <c r="H29" i="6"/>
  <c r="AG28" i="7"/>
  <c r="AG33" i="7" s="1"/>
  <c r="AG34" i="7" s="1"/>
  <c r="AE12" i="8" s="1"/>
  <c r="AG18" i="7"/>
  <c r="AG19" i="7" s="1"/>
  <c r="AG21" i="7" s="1"/>
  <c r="E12" i="25"/>
  <c r="E13" i="25" s="1"/>
  <c r="E40" i="4"/>
  <c r="C19" i="8"/>
  <c r="C22" i="8" s="1"/>
  <c r="D18" i="8" s="1"/>
  <c r="C21" i="8"/>
  <c r="AH14" i="7"/>
  <c r="AH43" i="7"/>
  <c r="AH47" i="7" s="1"/>
  <c r="AH41" i="7"/>
  <c r="AH45" i="7" s="1"/>
  <c r="AH48" i="7" s="1"/>
  <c r="E16" i="25"/>
  <c r="E22" i="30"/>
  <c r="F16" i="30"/>
  <c r="C29" i="8"/>
  <c r="C30" i="8" s="1"/>
  <c r="C28" i="6"/>
  <c r="AG7" i="19"/>
  <c r="AG7" i="7"/>
  <c r="AF7" i="4"/>
  <c r="AF15" i="30" s="1"/>
  <c r="AH8" i="3"/>
  <c r="AF7" i="25"/>
  <c r="AE7" i="8"/>
  <c r="B38" i="8"/>
  <c r="B36" i="8"/>
  <c r="L50" i="7"/>
  <c r="J24" i="4"/>
  <c r="J30" i="4" s="1"/>
  <c r="J32" i="4" s="1"/>
  <c r="AG48" i="7"/>
  <c r="D32" i="19"/>
  <c r="C18" i="25"/>
  <c r="C21" i="25" s="1"/>
  <c r="C41" i="8" l="1"/>
  <c r="D15" i="25" s="1"/>
  <c r="D18" i="25" s="1"/>
  <c r="D21" i="25" s="1"/>
  <c r="C33" i="8"/>
  <c r="B78" i="2"/>
  <c r="C43" i="25"/>
  <c r="C45" i="25" s="1"/>
  <c r="C27" i="25"/>
  <c r="C28" i="25" s="1"/>
  <c r="C29" i="25" s="1"/>
  <c r="D25" i="25" s="1"/>
  <c r="C37" i="25"/>
  <c r="C38" i="25" s="1"/>
  <c r="C50" i="25"/>
  <c r="C52" i="25" s="1"/>
  <c r="C57" i="25"/>
  <c r="C59" i="25" s="1"/>
  <c r="AH28" i="7"/>
  <c r="AH33" i="7" s="1"/>
  <c r="AH34" i="7" s="1"/>
  <c r="AF12" i="8" s="1"/>
  <c r="AH18" i="7"/>
  <c r="AH19" i="7" s="1"/>
  <c r="AH21" i="7" s="1"/>
  <c r="D37" i="19"/>
  <c r="D45" i="19" s="1"/>
  <c r="D47" i="19" s="1"/>
  <c r="E32" i="19"/>
  <c r="AG36" i="7"/>
  <c r="AH36" i="7" s="1"/>
  <c r="AF34" i="4"/>
  <c r="AE11" i="8" s="1"/>
  <c r="AG19" i="19"/>
  <c r="AG20" i="19" s="1"/>
  <c r="AG25" i="19" s="1"/>
  <c r="J36" i="4"/>
  <c r="J11" i="25"/>
  <c r="J21" i="30"/>
  <c r="I38" i="6"/>
  <c r="I29" i="6"/>
  <c r="I11" i="6" s="1"/>
  <c r="I13" i="6" s="1"/>
  <c r="AH7" i="19"/>
  <c r="AH7" i="7"/>
  <c r="AG7" i="4"/>
  <c r="AG7" i="25"/>
  <c r="AF7" i="8"/>
  <c r="F18" i="30"/>
  <c r="M50" i="7"/>
  <c r="K24" i="4"/>
  <c r="K30" i="4" s="1"/>
  <c r="K32" i="4" s="1"/>
  <c r="D77" i="2"/>
  <c r="H11" i="6"/>
  <c r="H13" i="6" s="1"/>
  <c r="B39" i="8"/>
  <c r="C35" i="8" s="1"/>
  <c r="AG34" i="4"/>
  <c r="AF11" i="8" s="1"/>
  <c r="AH19" i="19"/>
  <c r="AH20" i="19" s="1"/>
  <c r="AH25" i="19" s="1"/>
  <c r="AF23" i="4"/>
  <c r="E45" i="4"/>
  <c r="E42" i="4"/>
  <c r="E43" i="4"/>
  <c r="D10" i="8"/>
  <c r="D13" i="8" s="1"/>
  <c r="C33" i="6"/>
  <c r="C26" i="6"/>
  <c r="C30" i="6" s="1"/>
  <c r="J29" i="6" l="1"/>
  <c r="J11" i="6" s="1"/>
  <c r="J13" i="6" s="1"/>
  <c r="K36" i="4"/>
  <c r="K11" i="25"/>
  <c r="K21" i="30"/>
  <c r="J38" i="6"/>
  <c r="N50" i="7"/>
  <c r="L24" i="4"/>
  <c r="L30" i="4" s="1"/>
  <c r="L32" i="4" s="1"/>
  <c r="F42" i="19"/>
  <c r="F43" i="19" s="1"/>
  <c r="D76" i="2"/>
  <c r="C36" i="6"/>
  <c r="C37" i="6"/>
  <c r="F38" i="4"/>
  <c r="F19" i="30"/>
  <c r="E37" i="19"/>
  <c r="E45" i="19" s="1"/>
  <c r="E47" i="19" s="1"/>
  <c r="AG23" i="4"/>
  <c r="D26" i="25"/>
  <c r="D28" i="8"/>
  <c r="D16" i="8"/>
  <c r="D24" i="8"/>
  <c r="C38" i="8"/>
  <c r="C36" i="8"/>
  <c r="C78" i="2"/>
  <c r="D50" i="25"/>
  <c r="D52" i="25" s="1"/>
  <c r="D57" i="25"/>
  <c r="D59" i="25" s="1"/>
  <c r="D27" i="25"/>
  <c r="D37" i="25"/>
  <c r="D38" i="25" s="1"/>
  <c r="D43" i="25"/>
  <c r="D45" i="25" s="1"/>
  <c r="C39" i="8" l="1"/>
  <c r="D35" i="8" s="1"/>
  <c r="F12" i="25"/>
  <c r="F13" i="25" s="1"/>
  <c r="F40" i="4"/>
  <c r="D19" i="8"/>
  <c r="D21" i="8"/>
  <c r="F16" i="25"/>
  <c r="F22" i="30"/>
  <c r="G16" i="30"/>
  <c r="D28" i="25"/>
  <c r="D29" i="25" s="1"/>
  <c r="E25" i="25" s="1"/>
  <c r="C42" i="6"/>
  <c r="C35" i="6"/>
  <c r="D29" i="8"/>
  <c r="D30" i="8" s="1"/>
  <c r="C49" i="6"/>
  <c r="L36" i="4"/>
  <c r="L11" i="25"/>
  <c r="L21" i="30"/>
  <c r="K38" i="6"/>
  <c r="K29" i="6"/>
  <c r="K11" i="6" s="1"/>
  <c r="K13" i="6" s="1"/>
  <c r="O50" i="7"/>
  <c r="M24" i="4"/>
  <c r="M30" i="4" s="1"/>
  <c r="M32" i="4" s="1"/>
  <c r="D33" i="8" l="1"/>
  <c r="D41" i="8"/>
  <c r="E15" i="25" s="1"/>
  <c r="F42" i="4"/>
  <c r="F45" i="4" s="1"/>
  <c r="G42" i="19" s="1"/>
  <c r="G43" i="19" s="1"/>
  <c r="F43" i="4"/>
  <c r="E10" i="8"/>
  <c r="E13" i="8" s="1"/>
  <c r="G18" i="30"/>
  <c r="C56" i="6"/>
  <c r="C48" i="6"/>
  <c r="C50" i="6" s="1"/>
  <c r="C52" i="6" s="1"/>
  <c r="C39" i="6"/>
  <c r="M36" i="4"/>
  <c r="M11" i="25"/>
  <c r="M21" i="30"/>
  <c r="L29" i="6"/>
  <c r="L38" i="6"/>
  <c r="C45" i="6"/>
  <c r="D24" i="6" s="1"/>
  <c r="C44" i="6"/>
  <c r="C57" i="6" s="1"/>
  <c r="D22" i="8"/>
  <c r="E18" i="8" s="1"/>
  <c r="P50" i="7"/>
  <c r="N24" i="4"/>
  <c r="N30" i="4" s="1"/>
  <c r="N32" i="4" s="1"/>
  <c r="E26" i="25"/>
  <c r="C58" i="6" l="1"/>
  <c r="D38" i="8"/>
  <c r="D36" i="8"/>
  <c r="N36" i="4"/>
  <c r="N11" i="25"/>
  <c r="N21" i="30"/>
  <c r="M38" i="6"/>
  <c r="M29" i="6"/>
  <c r="M11" i="6" s="1"/>
  <c r="M13" i="6" s="1"/>
  <c r="L11" i="6"/>
  <c r="L13" i="6" s="1"/>
  <c r="E28" i="8"/>
  <c r="E24" i="8"/>
  <c r="E16" i="8"/>
  <c r="Q50" i="7"/>
  <c r="O24" i="4"/>
  <c r="O30" i="4" s="1"/>
  <c r="O32" i="4" s="1"/>
  <c r="G38" i="4"/>
  <c r="G19" i="30"/>
  <c r="D27" i="6"/>
  <c r="E18" i="25"/>
  <c r="E21" i="25" s="1"/>
  <c r="F32" i="19"/>
  <c r="E29" i="8" l="1"/>
  <c r="G16" i="25"/>
  <c r="G22" i="30"/>
  <c r="H16" i="30"/>
  <c r="F37" i="19"/>
  <c r="F45" i="19" s="1"/>
  <c r="F47" i="19" s="1"/>
  <c r="G12" i="25"/>
  <c r="G13" i="25" s="1"/>
  <c r="G40" i="4"/>
  <c r="D39" i="8"/>
  <c r="E35" i="8" s="1"/>
  <c r="O11" i="25"/>
  <c r="O36" i="4"/>
  <c r="O21" i="30"/>
  <c r="N29" i="6"/>
  <c r="N11" i="6" s="1"/>
  <c r="N13" i="6" s="1"/>
  <c r="N38" i="6"/>
  <c r="E21" i="8"/>
  <c r="E19" i="8"/>
  <c r="D28" i="6"/>
  <c r="E30" i="8"/>
  <c r="D78" i="2"/>
  <c r="E50" i="25"/>
  <c r="E52" i="25" s="1"/>
  <c r="E27" i="25"/>
  <c r="E28" i="25" s="1"/>
  <c r="E29" i="25" s="1"/>
  <c r="F25" i="25" s="1"/>
  <c r="E37" i="25"/>
  <c r="E38" i="25" s="1"/>
  <c r="E57" i="25"/>
  <c r="E59" i="25" s="1"/>
  <c r="E43" i="25"/>
  <c r="E45" i="25" s="1"/>
  <c r="R50" i="7"/>
  <c r="P24" i="4"/>
  <c r="P30" i="4" s="1"/>
  <c r="P32" i="4" s="1"/>
  <c r="D33" i="6" l="1"/>
  <c r="D26" i="6"/>
  <c r="D30" i="6" s="1"/>
  <c r="E22" i="8"/>
  <c r="F18" i="8" s="1"/>
  <c r="F26" i="25"/>
  <c r="H18" i="30"/>
  <c r="P36" i="4"/>
  <c r="P11" i="25"/>
  <c r="P21" i="30"/>
  <c r="O38" i="6"/>
  <c r="O29" i="6"/>
  <c r="O11" i="6" s="1"/>
  <c r="O13" i="6" s="1"/>
  <c r="E33" i="8"/>
  <c r="E41" i="8"/>
  <c r="F15" i="25" s="1"/>
  <c r="G42" i="4"/>
  <c r="F10" i="8"/>
  <c r="F13" i="8" s="1"/>
  <c r="S50" i="7"/>
  <c r="Q24" i="4"/>
  <c r="Q30" i="4" s="1"/>
  <c r="Q32" i="4" s="1"/>
  <c r="G45" i="4" l="1"/>
  <c r="H42" i="19" s="1"/>
  <c r="H43" i="19" s="1"/>
  <c r="F18" i="25"/>
  <c r="F21" i="25" s="1"/>
  <c r="G32" i="19"/>
  <c r="Q36" i="4"/>
  <c r="Q11" i="25"/>
  <c r="Q21" i="30"/>
  <c r="P29" i="6"/>
  <c r="P11" i="6" s="1"/>
  <c r="P13" i="6" s="1"/>
  <c r="P38" i="6"/>
  <c r="E38" i="8"/>
  <c r="E36" i="8"/>
  <c r="T50" i="7"/>
  <c r="R24" i="4"/>
  <c r="R30" i="4" s="1"/>
  <c r="R32" i="4" s="1"/>
  <c r="F16" i="8"/>
  <c r="F24" i="8"/>
  <c r="F28" i="8"/>
  <c r="G43" i="4"/>
  <c r="H38" i="4"/>
  <c r="H19" i="30"/>
  <c r="D37" i="6"/>
  <c r="D36" i="6"/>
  <c r="D35" i="6"/>
  <c r="D49" i="6" l="1"/>
  <c r="Q38" i="6"/>
  <c r="R36" i="4"/>
  <c r="R11" i="25"/>
  <c r="R21" i="30"/>
  <c r="Q29" i="6"/>
  <c r="Q11" i="6" s="1"/>
  <c r="Q13" i="6" s="1"/>
  <c r="D48" i="6"/>
  <c r="D50" i="6" s="1"/>
  <c r="D52" i="6" s="1"/>
  <c r="D56" i="6"/>
  <c r="F30" i="8"/>
  <c r="F21" i="8"/>
  <c r="F19" i="8"/>
  <c r="H12" i="25"/>
  <c r="H13" i="25" s="1"/>
  <c r="H40" i="4"/>
  <c r="U50" i="7"/>
  <c r="S24" i="4"/>
  <c r="S30" i="4" s="1"/>
  <c r="S32" i="4" s="1"/>
  <c r="G37" i="19"/>
  <c r="G45" i="19" s="1"/>
  <c r="G47" i="19" s="1"/>
  <c r="D39" i="6"/>
  <c r="D42" i="6"/>
  <c r="F29" i="8"/>
  <c r="H16" i="25"/>
  <c r="H22" i="30"/>
  <c r="I16" i="30"/>
  <c r="E39" i="8"/>
  <c r="F35" i="8" s="1"/>
  <c r="F27" i="25"/>
  <c r="F28" i="25" s="1"/>
  <c r="F29" i="25" s="1"/>
  <c r="G25" i="25" s="1"/>
  <c r="F37" i="25"/>
  <c r="F38" i="25" s="1"/>
  <c r="F43" i="25"/>
  <c r="F45" i="25" s="1"/>
  <c r="F50" i="25"/>
  <c r="F52" i="25" s="1"/>
  <c r="F57" i="25"/>
  <c r="F59" i="25" s="1"/>
  <c r="F41" i="8" l="1"/>
  <c r="G15" i="25" s="1"/>
  <c r="F33" i="8"/>
  <c r="G26" i="25"/>
  <c r="D45" i="6"/>
  <c r="E24" i="6" s="1"/>
  <c r="D44" i="6"/>
  <c r="D57" i="6" s="1"/>
  <c r="F22" i="8"/>
  <c r="G18" i="8" s="1"/>
  <c r="S36" i="4"/>
  <c r="S11" i="25"/>
  <c r="S21" i="30"/>
  <c r="R29" i="6"/>
  <c r="R38" i="6"/>
  <c r="D58" i="6"/>
  <c r="V50" i="7"/>
  <c r="T24" i="4"/>
  <c r="T30" i="4" s="1"/>
  <c r="T32" i="4" s="1"/>
  <c r="I18" i="30"/>
  <c r="H42" i="4"/>
  <c r="H43" i="4" s="1"/>
  <c r="H45" i="4" s="1"/>
  <c r="I42" i="19" s="1"/>
  <c r="I43" i="19" s="1"/>
  <c r="G10" i="8"/>
  <c r="G13" i="8" s="1"/>
  <c r="T36" i="4" l="1"/>
  <c r="T11" i="25"/>
  <c r="T21" i="30"/>
  <c r="S38" i="6"/>
  <c r="S29" i="6"/>
  <c r="S11" i="6" s="1"/>
  <c r="S13" i="6" s="1"/>
  <c r="W50" i="7"/>
  <c r="U24" i="4"/>
  <c r="U30" i="4" s="1"/>
  <c r="U32" i="4" s="1"/>
  <c r="E27" i="6"/>
  <c r="G16" i="8"/>
  <c r="G24" i="8"/>
  <c r="G28" i="8"/>
  <c r="I38" i="4"/>
  <c r="I19" i="30"/>
  <c r="R11" i="6"/>
  <c r="R13" i="6" s="1"/>
  <c r="F38" i="8"/>
  <c r="F36" i="8"/>
  <c r="G18" i="25"/>
  <c r="G21" i="25" s="1"/>
  <c r="H32" i="19"/>
  <c r="I12" i="25" l="1"/>
  <c r="I13" i="25" s="1"/>
  <c r="I40" i="4"/>
  <c r="X50" i="7"/>
  <c r="V24" i="4"/>
  <c r="V30" i="4" s="1"/>
  <c r="V32" i="4" s="1"/>
  <c r="G27" i="25"/>
  <c r="G28" i="25" s="1"/>
  <c r="G29" i="25" s="1"/>
  <c r="H25" i="25" s="1"/>
  <c r="G37" i="25"/>
  <c r="G38" i="25" s="1"/>
  <c r="G43" i="25"/>
  <c r="G45" i="25" s="1"/>
  <c r="G50" i="25"/>
  <c r="G52" i="25" s="1"/>
  <c r="G57" i="25"/>
  <c r="G59" i="25" s="1"/>
  <c r="F39" i="8"/>
  <c r="G35" i="8" s="1"/>
  <c r="H37" i="19"/>
  <c r="H45" i="19" s="1"/>
  <c r="H47" i="19" s="1"/>
  <c r="G29" i="8"/>
  <c r="G30" i="8" s="1"/>
  <c r="G21" i="8"/>
  <c r="G19" i="8"/>
  <c r="E28" i="6"/>
  <c r="I16" i="25"/>
  <c r="I22" i="30"/>
  <c r="J16" i="30"/>
  <c r="U36" i="4"/>
  <c r="U11" i="25"/>
  <c r="U21" i="30"/>
  <c r="T38" i="6"/>
  <c r="T29" i="6"/>
  <c r="T11" i="6" s="1"/>
  <c r="T13" i="6" s="1"/>
  <c r="G33" i="8" l="1"/>
  <c r="G41" i="8"/>
  <c r="H15" i="25" s="1"/>
  <c r="E33" i="6"/>
  <c r="E30" i="6"/>
  <c r="E26" i="6"/>
  <c r="G22" i="8"/>
  <c r="H18" i="8" s="1"/>
  <c r="J18" i="30"/>
  <c r="U29" i="6"/>
  <c r="U11" i="6" s="1"/>
  <c r="U13" i="6" s="1"/>
  <c r="V36" i="4"/>
  <c r="V11" i="25"/>
  <c r="V21" i="30"/>
  <c r="U38" i="6"/>
  <c r="H26" i="25"/>
  <c r="Y50" i="7"/>
  <c r="W24" i="4"/>
  <c r="W30" i="4" s="1"/>
  <c r="W32" i="4" s="1"/>
  <c r="I42" i="4"/>
  <c r="I43" i="4" s="1"/>
  <c r="H10" i="8"/>
  <c r="H13" i="8" s="1"/>
  <c r="H28" i="8" l="1"/>
  <c r="H16" i="8"/>
  <c r="H24" i="8"/>
  <c r="I45" i="4"/>
  <c r="J42" i="19" s="1"/>
  <c r="J43" i="19" s="1"/>
  <c r="J38" i="4"/>
  <c r="J19" i="30"/>
  <c r="E37" i="6"/>
  <c r="E36" i="6"/>
  <c r="W36" i="4"/>
  <c r="W11" i="25"/>
  <c r="W44" i="25"/>
  <c r="W21" i="30"/>
  <c r="V38" i="6"/>
  <c r="V29" i="6"/>
  <c r="Z50" i="7"/>
  <c r="X24" i="4"/>
  <c r="X30" i="4" s="1"/>
  <c r="X32" i="4" s="1"/>
  <c r="H18" i="25"/>
  <c r="H21" i="25" s="1"/>
  <c r="I32" i="19"/>
  <c r="G36" i="8"/>
  <c r="G38" i="8"/>
  <c r="V11" i="6" l="1"/>
  <c r="V13" i="6" s="1"/>
  <c r="E49" i="6"/>
  <c r="I37" i="19"/>
  <c r="I45" i="19" s="1"/>
  <c r="I47" i="19" s="1"/>
  <c r="J12" i="25"/>
  <c r="J13" i="25" s="1"/>
  <c r="J40" i="4"/>
  <c r="E42" i="6"/>
  <c r="H29" i="8"/>
  <c r="J16" i="25"/>
  <c r="J22" i="30"/>
  <c r="K16" i="30"/>
  <c r="X36" i="4"/>
  <c r="X11" i="25"/>
  <c r="X21" i="30"/>
  <c r="W29" i="6"/>
  <c r="W38" i="6"/>
  <c r="H21" i="8"/>
  <c r="H19" i="8"/>
  <c r="H27" i="25"/>
  <c r="H28" i="25" s="1"/>
  <c r="H29" i="25" s="1"/>
  <c r="I25" i="25" s="1"/>
  <c r="H43" i="25"/>
  <c r="H45" i="25" s="1"/>
  <c r="H37" i="25"/>
  <c r="H38" i="25" s="1"/>
  <c r="H57" i="25"/>
  <c r="H59" i="25" s="1"/>
  <c r="H50" i="25"/>
  <c r="H52" i="25" s="1"/>
  <c r="G39" i="8"/>
  <c r="H35" i="8" s="1"/>
  <c r="AA50" i="7"/>
  <c r="Y24" i="4"/>
  <c r="Y30" i="4" s="1"/>
  <c r="Y32" i="4" s="1"/>
  <c r="E35" i="6"/>
  <c r="E39" i="6" s="1"/>
  <c r="H30" i="8"/>
  <c r="J42" i="4" l="1"/>
  <c r="J43" i="4" s="1"/>
  <c r="I10" i="8"/>
  <c r="I13" i="8" s="1"/>
  <c r="H22" i="8"/>
  <c r="I18" i="8" s="1"/>
  <c r="E45" i="6"/>
  <c r="F24" i="6" s="1"/>
  <c r="E44" i="6"/>
  <c r="E57" i="6" s="1"/>
  <c r="E48" i="6"/>
  <c r="E50" i="6" s="1"/>
  <c r="E52" i="6" s="1"/>
  <c r="E56" i="6"/>
  <c r="E58" i="6" s="1"/>
  <c r="H33" i="8"/>
  <c r="H41" i="8"/>
  <c r="I15" i="25" s="1"/>
  <c r="X38" i="6"/>
  <c r="Y36" i="4"/>
  <c r="Y11" i="25"/>
  <c r="Y21" i="30"/>
  <c r="X29" i="6"/>
  <c r="X11" i="6" s="1"/>
  <c r="X13" i="6" s="1"/>
  <c r="AB50" i="7"/>
  <c r="Z24" i="4"/>
  <c r="Z30" i="4" s="1"/>
  <c r="Z32" i="4" s="1"/>
  <c r="W11" i="6"/>
  <c r="W13" i="6" s="1"/>
  <c r="I26" i="25"/>
  <c r="K18" i="30"/>
  <c r="Y38" i="6" l="1"/>
  <c r="Z36" i="4"/>
  <c r="Z11" i="25"/>
  <c r="Z21" i="30"/>
  <c r="Y29" i="6"/>
  <c r="AC50" i="7"/>
  <c r="AA24" i="4"/>
  <c r="AA30" i="4" s="1"/>
  <c r="AA32" i="4" s="1"/>
  <c r="H36" i="8"/>
  <c r="H38" i="8"/>
  <c r="I28" i="8"/>
  <c r="I16" i="8"/>
  <c r="I24" i="8"/>
  <c r="J45" i="4"/>
  <c r="K42" i="19" s="1"/>
  <c r="K43" i="19" s="1"/>
  <c r="F27" i="6"/>
  <c r="F28" i="6" s="1"/>
  <c r="K38" i="4"/>
  <c r="K19" i="30"/>
  <c r="I18" i="25"/>
  <c r="I21" i="25" s="1"/>
  <c r="J32" i="19"/>
  <c r="F30" i="6" l="1"/>
  <c r="F33" i="6"/>
  <c r="F26" i="6"/>
  <c r="K16" i="25"/>
  <c r="K22" i="30"/>
  <c r="L16" i="30"/>
  <c r="H39" i="8"/>
  <c r="I35" i="8" s="1"/>
  <c r="K12" i="25"/>
  <c r="K13" i="25" s="1"/>
  <c r="K40" i="4"/>
  <c r="I29" i="8"/>
  <c r="I21" i="8"/>
  <c r="I19" i="8"/>
  <c r="Y11" i="6"/>
  <c r="Y13" i="6" s="1"/>
  <c r="AA36" i="4"/>
  <c r="AA11" i="25"/>
  <c r="AA21" i="30"/>
  <c r="Z29" i="6"/>
  <c r="Z38" i="6"/>
  <c r="AD50" i="7"/>
  <c r="AB24" i="4"/>
  <c r="AB30" i="4" s="1"/>
  <c r="AB32" i="4" s="1"/>
  <c r="I30" i="8"/>
  <c r="J37" i="19"/>
  <c r="J45" i="19" s="1"/>
  <c r="J47" i="19" s="1"/>
  <c r="I27" i="25"/>
  <c r="I28" i="25" s="1"/>
  <c r="I29" i="25" s="1"/>
  <c r="J25" i="25" s="1"/>
  <c r="I37" i="25"/>
  <c r="I38" i="25" s="1"/>
  <c r="I50" i="25"/>
  <c r="I52" i="25" s="1"/>
  <c r="I57" i="25"/>
  <c r="I59" i="25" s="1"/>
  <c r="I43" i="25"/>
  <c r="I45" i="25" s="1"/>
  <c r="J20" i="8" l="1"/>
  <c r="Z11" i="6"/>
  <c r="Z13" i="6" s="1"/>
  <c r="I33" i="8"/>
  <c r="I41" i="8"/>
  <c r="J15" i="25" s="1"/>
  <c r="K42" i="4"/>
  <c r="K43" i="4"/>
  <c r="K45" i="4"/>
  <c r="L42" i="19" s="1"/>
  <c r="L43" i="19" s="1"/>
  <c r="J10" i="8"/>
  <c r="J13" i="8" s="1"/>
  <c r="AB36" i="4"/>
  <c r="AB11" i="25"/>
  <c r="AB21" i="30"/>
  <c r="AA38" i="6"/>
  <c r="AA29" i="6"/>
  <c r="AA11" i="6" s="1"/>
  <c r="AA13" i="6" s="1"/>
  <c r="J26" i="25"/>
  <c r="AE50" i="7"/>
  <c r="AC24" i="4"/>
  <c r="AC30" i="4" s="1"/>
  <c r="AC32" i="4" s="1"/>
  <c r="I22" i="8"/>
  <c r="J18" i="8" s="1"/>
  <c r="L18" i="30"/>
  <c r="F37" i="6"/>
  <c r="F36" i="6"/>
  <c r="J28" i="8" l="1"/>
  <c r="J16" i="8"/>
  <c r="J24" i="8"/>
  <c r="F49" i="6"/>
  <c r="F42" i="6"/>
  <c r="L38" i="4"/>
  <c r="L19" i="30"/>
  <c r="J18" i="25"/>
  <c r="J21" i="25" s="1"/>
  <c r="K32" i="19"/>
  <c r="AC36" i="4"/>
  <c r="AC11" i="25"/>
  <c r="AC21" i="30"/>
  <c r="AB29" i="6"/>
  <c r="AB11" i="6" s="1"/>
  <c r="AB13" i="6" s="1"/>
  <c r="AB38" i="6"/>
  <c r="I38" i="8"/>
  <c r="I36" i="8"/>
  <c r="F35" i="6"/>
  <c r="F39" i="6" s="1"/>
  <c r="AF50" i="7"/>
  <c r="AD24" i="4"/>
  <c r="AD30" i="4" s="1"/>
  <c r="AD32" i="4" s="1"/>
  <c r="AC29" i="6" l="1"/>
  <c r="AC11" i="6" s="1"/>
  <c r="AC13" i="6" s="1"/>
  <c r="AD36" i="4"/>
  <c r="AD11" i="25"/>
  <c r="AD21" i="30"/>
  <c r="AC38" i="6"/>
  <c r="L16" i="25"/>
  <c r="L22" i="30"/>
  <c r="M16" i="30"/>
  <c r="AG50" i="7"/>
  <c r="AE24" i="4"/>
  <c r="AE30" i="4" s="1"/>
  <c r="AE32" i="4" s="1"/>
  <c r="L12" i="25"/>
  <c r="L13" i="25" s="1"/>
  <c r="L40" i="4"/>
  <c r="K37" i="19"/>
  <c r="K45" i="19" s="1"/>
  <c r="K47" i="19" s="1"/>
  <c r="J27" i="25"/>
  <c r="J28" i="25" s="1"/>
  <c r="J29" i="25" s="1"/>
  <c r="K25" i="25" s="1"/>
  <c r="J57" i="25"/>
  <c r="J59" i="25" s="1"/>
  <c r="J43" i="25"/>
  <c r="J45" i="25" s="1"/>
  <c r="J37" i="25"/>
  <c r="J38" i="25" s="1"/>
  <c r="J50" i="25"/>
  <c r="J52" i="25" s="1"/>
  <c r="J29" i="8"/>
  <c r="J30" i="8" s="1"/>
  <c r="F48" i="6"/>
  <c r="F50" i="6" s="1"/>
  <c r="F52" i="6" s="1"/>
  <c r="F56" i="6"/>
  <c r="F58" i="6" s="1"/>
  <c r="F45" i="6"/>
  <c r="G24" i="6" s="1"/>
  <c r="F44" i="6"/>
  <c r="F57" i="6" s="1"/>
  <c r="I39" i="8"/>
  <c r="J35" i="8" s="1"/>
  <c r="J21" i="8"/>
  <c r="J19" i="8"/>
  <c r="J41" i="8" l="1"/>
  <c r="K15" i="25" s="1"/>
  <c r="J33" i="8"/>
  <c r="J22" i="8"/>
  <c r="K18" i="8" s="1"/>
  <c r="AE36" i="4"/>
  <c r="AE11" i="25"/>
  <c r="AE21" i="30"/>
  <c r="AD29" i="6"/>
  <c r="AD11" i="6" s="1"/>
  <c r="AD13" i="6" s="1"/>
  <c r="AD38" i="6"/>
  <c r="K20" i="8"/>
  <c r="AH50" i="7"/>
  <c r="AG24" i="4" s="1"/>
  <c r="AG30" i="4" s="1"/>
  <c r="AG32" i="4" s="1"/>
  <c r="AF24" i="4"/>
  <c r="AF30" i="4" s="1"/>
  <c r="AF32" i="4" s="1"/>
  <c r="G27" i="6"/>
  <c r="M18" i="30"/>
  <c r="L42" i="4"/>
  <c r="L45" i="4" s="1"/>
  <c r="M42" i="19" s="1"/>
  <c r="M43" i="19" s="1"/>
  <c r="L43" i="4"/>
  <c r="K10" i="8"/>
  <c r="K13" i="8" s="1"/>
  <c r="K26" i="25"/>
  <c r="K18" i="25" l="1"/>
  <c r="K21" i="25" s="1"/>
  <c r="L32" i="19"/>
  <c r="G28" i="6"/>
  <c r="AF36" i="4"/>
  <c r="AG44" i="25"/>
  <c r="AF11" i="25"/>
  <c r="AF21" i="30"/>
  <c r="AE29" i="6"/>
  <c r="AE38" i="6"/>
  <c r="K28" i="8"/>
  <c r="K16" i="8"/>
  <c r="K24" i="8"/>
  <c r="AF38" i="6"/>
  <c r="AG36" i="4"/>
  <c r="AG40" i="4" s="1"/>
  <c r="AG11" i="25"/>
  <c r="AF29" i="6"/>
  <c r="AF11" i="6" s="1"/>
  <c r="AF13" i="6" s="1"/>
  <c r="M38" i="4"/>
  <c r="M19" i="30"/>
  <c r="J38" i="8"/>
  <c r="J36" i="8"/>
  <c r="AE11" i="6" l="1"/>
  <c r="AE13" i="6" s="1"/>
  <c r="AG42" i="4"/>
  <c r="AG43" i="4" s="1"/>
  <c r="AF10" i="8"/>
  <c r="AF13" i="8" s="1"/>
  <c r="M16" i="25"/>
  <c r="M22" i="30"/>
  <c r="N16" i="30"/>
  <c r="M12" i="25"/>
  <c r="M13" i="25" s="1"/>
  <c r="M40" i="4"/>
  <c r="L37" i="19"/>
  <c r="L45" i="19" s="1"/>
  <c r="L47" i="19" s="1"/>
  <c r="J39" i="8"/>
  <c r="K35" i="8" s="1"/>
  <c r="K29" i="8"/>
  <c r="K30" i="8" s="1"/>
  <c r="K43" i="25"/>
  <c r="K45" i="25" s="1"/>
  <c r="K27" i="25"/>
  <c r="K28" i="25" s="1"/>
  <c r="K29" i="25" s="1"/>
  <c r="L25" i="25" s="1"/>
  <c r="K37" i="25"/>
  <c r="K38" i="25" s="1"/>
  <c r="K50" i="25"/>
  <c r="K52" i="25" s="1"/>
  <c r="K57" i="25"/>
  <c r="K59" i="25" s="1"/>
  <c r="G33" i="6"/>
  <c r="G26" i="6"/>
  <c r="G30" i="6" s="1"/>
  <c r="K19" i="8"/>
  <c r="K21" i="8"/>
  <c r="K33" i="8" l="1"/>
  <c r="K41" i="8"/>
  <c r="L15" i="25" s="1"/>
  <c r="K22" i="8"/>
  <c r="L18" i="8" s="1"/>
  <c r="G36" i="6"/>
  <c r="M45" i="4"/>
  <c r="N42" i="19" s="1"/>
  <c r="N43" i="19" s="1"/>
  <c r="M42" i="4"/>
  <c r="M43" i="4"/>
  <c r="L10" i="8"/>
  <c r="L13" i="8" s="1"/>
  <c r="AG45" i="4"/>
  <c r="AH42" i="19" s="1"/>
  <c r="AH43" i="19" s="1"/>
  <c r="L26" i="25"/>
  <c r="N18" i="30"/>
  <c r="AF28" i="8"/>
  <c r="AF16" i="8"/>
  <c r="L20" i="8"/>
  <c r="K38" i="8" l="1"/>
  <c r="K36" i="8"/>
  <c r="G49" i="6"/>
  <c r="G37" i="6"/>
  <c r="AF19" i="8"/>
  <c r="L28" i="8"/>
  <c r="L16" i="8"/>
  <c r="L24" i="8"/>
  <c r="N38" i="4"/>
  <c r="N19" i="30"/>
  <c r="L18" i="25"/>
  <c r="L21" i="25" s="1"/>
  <c r="M32" i="19"/>
  <c r="L30" i="8" l="1"/>
  <c r="N16" i="25"/>
  <c r="N22" i="30"/>
  <c r="O16" i="30"/>
  <c r="N12" i="25"/>
  <c r="N13" i="25" s="1"/>
  <c r="N40" i="4"/>
  <c r="G39" i="6"/>
  <c r="G42" i="6"/>
  <c r="G35" i="6"/>
  <c r="L29" i="8"/>
  <c r="K39" i="8"/>
  <c r="L35" i="8" s="1"/>
  <c r="L37" i="25"/>
  <c r="L38" i="25" s="1"/>
  <c r="L50" i="25"/>
  <c r="L52" i="25" s="1"/>
  <c r="L57" i="25"/>
  <c r="L59" i="25" s="1"/>
  <c r="L43" i="25"/>
  <c r="L45" i="25" s="1"/>
  <c r="L27" i="25"/>
  <c r="L28" i="25" s="1"/>
  <c r="L29" i="25" s="1"/>
  <c r="M25" i="25" s="1"/>
  <c r="M37" i="19"/>
  <c r="M45" i="19" s="1"/>
  <c r="M47" i="19" s="1"/>
  <c r="L19" i="8"/>
  <c r="L21" i="8"/>
  <c r="G48" i="6" l="1"/>
  <c r="G50" i="6" s="1"/>
  <c r="G52" i="6" s="1"/>
  <c r="G56" i="6"/>
  <c r="L33" i="8"/>
  <c r="L41" i="8"/>
  <c r="M15" i="25" s="1"/>
  <c r="G45" i="6"/>
  <c r="H24" i="6" s="1"/>
  <c r="G44" i="6"/>
  <c r="G57" i="6" s="1"/>
  <c r="L22" i="8"/>
  <c r="M18" i="8" s="1"/>
  <c r="O18" i="30"/>
  <c r="M20" i="8"/>
  <c r="N42" i="4"/>
  <c r="N45" i="4" s="1"/>
  <c r="O42" i="19" s="1"/>
  <c r="O43" i="19" s="1"/>
  <c r="N43" i="4"/>
  <c r="M10" i="8"/>
  <c r="M13" i="8" s="1"/>
  <c r="M26" i="25"/>
  <c r="M28" i="8" l="1"/>
  <c r="M16" i="8"/>
  <c r="M24" i="8"/>
  <c r="M18" i="25"/>
  <c r="M21" i="25" s="1"/>
  <c r="N32" i="19"/>
  <c r="L38" i="8"/>
  <c r="L36" i="8"/>
  <c r="H27" i="6"/>
  <c r="H28" i="6" s="1"/>
  <c r="O38" i="4"/>
  <c r="O19" i="30"/>
  <c r="G58" i="6"/>
  <c r="H30" i="6" l="1"/>
  <c r="H33" i="6"/>
  <c r="H26" i="6"/>
  <c r="L39" i="8"/>
  <c r="M35" i="8" s="1"/>
  <c r="M50" i="25"/>
  <c r="M52" i="25" s="1"/>
  <c r="M27" i="25"/>
  <c r="M28" i="25" s="1"/>
  <c r="M29" i="25" s="1"/>
  <c r="N25" i="25" s="1"/>
  <c r="M37" i="25"/>
  <c r="M38" i="25" s="1"/>
  <c r="M57" i="25"/>
  <c r="M59" i="25" s="1"/>
  <c r="M43" i="25"/>
  <c r="M45" i="25" s="1"/>
  <c r="M21" i="8"/>
  <c r="M19" i="8"/>
  <c r="N37" i="19"/>
  <c r="N45" i="19" s="1"/>
  <c r="N47" i="19" s="1"/>
  <c r="O16" i="25"/>
  <c r="O22" i="30"/>
  <c r="P16" i="30"/>
  <c r="O12" i="25"/>
  <c r="O13" i="25" s="1"/>
  <c r="O40" i="4"/>
  <c r="M29" i="8"/>
  <c r="M30" i="8" s="1"/>
  <c r="M33" i="8" l="1"/>
  <c r="M41" i="8"/>
  <c r="N15" i="25" s="1"/>
  <c r="M22" i="8"/>
  <c r="N18" i="8" s="1"/>
  <c r="P18" i="30"/>
  <c r="N20" i="8"/>
  <c r="O42" i="4"/>
  <c r="N10" i="8"/>
  <c r="N13" i="8" s="1"/>
  <c r="N26" i="25"/>
  <c r="H36" i="6"/>
  <c r="H37" i="6" s="1"/>
  <c r="H39" i="6" l="1"/>
  <c r="H42" i="6"/>
  <c r="H35" i="6"/>
  <c r="M38" i="8"/>
  <c r="M36" i="8"/>
  <c r="O43" i="4"/>
  <c r="O45" i="4" s="1"/>
  <c r="P42" i="19" s="1"/>
  <c r="P43" i="19" s="1"/>
  <c r="N16" i="8"/>
  <c r="N24" i="8"/>
  <c r="N28" i="8"/>
  <c r="H49" i="6"/>
  <c r="P38" i="4"/>
  <c r="P19" i="30"/>
  <c r="N18" i="25"/>
  <c r="N21" i="25" s="1"/>
  <c r="O32" i="19"/>
  <c r="N27" i="25" l="1"/>
  <c r="N28" i="25" s="1"/>
  <c r="N29" i="25" s="1"/>
  <c r="O25" i="25" s="1"/>
  <c r="N37" i="25"/>
  <c r="N38" i="25" s="1"/>
  <c r="N50" i="25"/>
  <c r="N52" i="25" s="1"/>
  <c r="N57" i="25"/>
  <c r="N59" i="25" s="1"/>
  <c r="N43" i="25"/>
  <c r="N45" i="25" s="1"/>
  <c r="N21" i="8"/>
  <c r="N19" i="8"/>
  <c r="N29" i="8"/>
  <c r="P16" i="25"/>
  <c r="P22" i="30"/>
  <c r="Q16" i="30"/>
  <c r="O37" i="19"/>
  <c r="O45" i="19" s="1"/>
  <c r="O47" i="19" s="1"/>
  <c r="M39" i="8"/>
  <c r="N35" i="8" s="1"/>
  <c r="H48" i="6"/>
  <c r="H50" i="6" s="1"/>
  <c r="H52" i="6" s="1"/>
  <c r="H56" i="6"/>
  <c r="P12" i="25"/>
  <c r="P13" i="25" s="1"/>
  <c r="P40" i="4"/>
  <c r="N30" i="8"/>
  <c r="H45" i="6"/>
  <c r="I24" i="6" s="1"/>
  <c r="H44" i="6"/>
  <c r="H57" i="6" s="1"/>
  <c r="N22" i="8" l="1"/>
  <c r="O18" i="8" s="1"/>
  <c r="O20" i="8"/>
  <c r="P42" i="4"/>
  <c r="P45" i="4" s="1"/>
  <c r="Q42" i="19" s="1"/>
  <c r="Q43" i="19" s="1"/>
  <c r="P43" i="4"/>
  <c r="O10" i="8"/>
  <c r="O13" i="8" s="1"/>
  <c r="I27" i="6"/>
  <c r="I28" i="6" s="1"/>
  <c r="H58" i="6"/>
  <c r="Q18" i="30"/>
  <c r="N33" i="8"/>
  <c r="N41" i="8"/>
  <c r="O15" i="25" s="1"/>
  <c r="O26" i="25"/>
  <c r="I33" i="6" l="1"/>
  <c r="I26" i="6"/>
  <c r="I30" i="6" s="1"/>
  <c r="N38" i="8"/>
  <c r="N36" i="8"/>
  <c r="O18" i="25"/>
  <c r="O21" i="25" s="1"/>
  <c r="P32" i="19"/>
  <c r="Q38" i="4"/>
  <c r="Q19" i="30"/>
  <c r="O16" i="8"/>
  <c r="O24" i="8"/>
  <c r="O28" i="8"/>
  <c r="P37" i="19" l="1"/>
  <c r="P45" i="19" s="1"/>
  <c r="P47" i="19" s="1"/>
  <c r="I36" i="6"/>
  <c r="I37" i="6"/>
  <c r="I35" i="6"/>
  <c r="O21" i="8"/>
  <c r="O19" i="8"/>
  <c r="Q16" i="25"/>
  <c r="Q22" i="30"/>
  <c r="R16" i="30"/>
  <c r="N39" i="8"/>
  <c r="O35" i="8" s="1"/>
  <c r="Q12" i="25"/>
  <c r="Q13" i="25" s="1"/>
  <c r="Q40" i="4"/>
  <c r="O27" i="25"/>
  <c r="O28" i="25" s="1"/>
  <c r="O29" i="25" s="1"/>
  <c r="P25" i="25" s="1"/>
  <c r="O37" i="25"/>
  <c r="O38" i="25" s="1"/>
  <c r="O43" i="25"/>
  <c r="O45" i="25" s="1"/>
  <c r="O50" i="25"/>
  <c r="O52" i="25" s="1"/>
  <c r="O57" i="25"/>
  <c r="O59" i="25" s="1"/>
  <c r="O29" i="8"/>
  <c r="O30" i="8" s="1"/>
  <c r="O33" i="8" l="1"/>
  <c r="O41" i="8"/>
  <c r="P15" i="25" s="1"/>
  <c r="Q42" i="4"/>
  <c r="P10" i="8"/>
  <c r="P13" i="8" s="1"/>
  <c r="O22" i="8"/>
  <c r="P18" i="8" s="1"/>
  <c r="I42" i="6"/>
  <c r="I39" i="6"/>
  <c r="P20" i="8"/>
  <c r="R18" i="30"/>
  <c r="I49" i="6"/>
  <c r="I48" i="6"/>
  <c r="I50" i="6" s="1"/>
  <c r="I52" i="6" s="1"/>
  <c r="I56" i="6"/>
  <c r="P26" i="25"/>
  <c r="Q45" i="4" l="1"/>
  <c r="R42" i="19" s="1"/>
  <c r="R43" i="19" s="1"/>
  <c r="I44" i="6"/>
  <c r="I57" i="6" s="1"/>
  <c r="I45" i="6"/>
  <c r="J24" i="6" s="1"/>
  <c r="O36" i="8"/>
  <c r="O38" i="8"/>
  <c r="I58" i="6"/>
  <c r="Q43" i="4"/>
  <c r="P28" i="8"/>
  <c r="P16" i="8"/>
  <c r="P24" i="8"/>
  <c r="R38" i="4"/>
  <c r="R19" i="30"/>
  <c r="P18" i="25"/>
  <c r="P21" i="25" s="1"/>
  <c r="Q32" i="19"/>
  <c r="P27" i="25" l="1"/>
  <c r="P28" i="25" s="1"/>
  <c r="P29" i="25" s="1"/>
  <c r="Q25" i="25" s="1"/>
  <c r="P37" i="25"/>
  <c r="P38" i="25" s="1"/>
  <c r="P50" i="25"/>
  <c r="P52" i="25" s="1"/>
  <c r="P43" i="25"/>
  <c r="P45" i="25" s="1"/>
  <c r="P57" i="25"/>
  <c r="P59" i="25" s="1"/>
  <c r="R12" i="25"/>
  <c r="R13" i="25" s="1"/>
  <c r="R40" i="4"/>
  <c r="O39" i="8"/>
  <c r="P35" i="8" s="1"/>
  <c r="P30" i="8"/>
  <c r="R16" i="25"/>
  <c r="R22" i="30"/>
  <c r="S16" i="30"/>
  <c r="P29" i="8"/>
  <c r="J27" i="6"/>
  <c r="J28" i="6"/>
  <c r="Q37" i="19"/>
  <c r="Q45" i="19" s="1"/>
  <c r="Q47" i="19" s="1"/>
  <c r="P21" i="8"/>
  <c r="P19" i="8"/>
  <c r="J33" i="6" l="1"/>
  <c r="R42" i="4"/>
  <c r="R43" i="4"/>
  <c r="R45" i="4"/>
  <c r="S42" i="19" s="1"/>
  <c r="S43" i="19" s="1"/>
  <c r="Q10" i="8"/>
  <c r="Q13" i="8" s="1"/>
  <c r="P22" i="8"/>
  <c r="Q18" i="8" s="1"/>
  <c r="Q20" i="8"/>
  <c r="S18" i="30"/>
  <c r="Q26" i="25"/>
  <c r="P33" i="8"/>
  <c r="P41" i="8"/>
  <c r="Q15" i="25" s="1"/>
  <c r="J26" i="6"/>
  <c r="J30" i="6" s="1"/>
  <c r="P36" i="8" l="1"/>
  <c r="P38" i="8"/>
  <c r="Q18" i="25"/>
  <c r="Q21" i="25" s="1"/>
  <c r="R32" i="19"/>
  <c r="Q28" i="8"/>
  <c r="Q16" i="8"/>
  <c r="S38" i="4"/>
  <c r="S19" i="30"/>
  <c r="J36" i="6"/>
  <c r="Q21" i="8" l="1"/>
  <c r="Q19" i="8"/>
  <c r="Q37" i="8"/>
  <c r="J49" i="6"/>
  <c r="J37" i="6"/>
  <c r="P39" i="8"/>
  <c r="Q35" i="8" s="1"/>
  <c r="Q27" i="25"/>
  <c r="Q28" i="25" s="1"/>
  <c r="Q29" i="25" s="1"/>
  <c r="R25" i="25" s="1"/>
  <c r="Q37" i="25"/>
  <c r="Q38" i="25" s="1"/>
  <c r="Q50" i="25"/>
  <c r="Q52" i="25" s="1"/>
  <c r="Q43" i="25"/>
  <c r="Q45" i="25" s="1"/>
  <c r="Q57" i="25"/>
  <c r="Q59" i="25" s="1"/>
  <c r="S12" i="25"/>
  <c r="S13" i="25" s="1"/>
  <c r="S40" i="4"/>
  <c r="R37" i="19"/>
  <c r="R45" i="19" s="1"/>
  <c r="R47" i="19" s="1"/>
  <c r="S16" i="25"/>
  <c r="S22" i="30"/>
  <c r="T16" i="30"/>
  <c r="R26" i="25" l="1"/>
  <c r="J42" i="6"/>
  <c r="J35" i="6"/>
  <c r="J39" i="6" s="1"/>
  <c r="S42" i="4"/>
  <c r="S43" i="4" s="1"/>
  <c r="R10" i="8"/>
  <c r="R13" i="8" s="1"/>
  <c r="Q22" i="8"/>
  <c r="R18" i="8" s="1"/>
  <c r="T18" i="30"/>
  <c r="R20" i="8"/>
  <c r="Q24" i="8"/>
  <c r="T38" i="4" l="1"/>
  <c r="T19" i="30"/>
  <c r="Q29" i="8"/>
  <c r="Q30" i="8" s="1"/>
  <c r="J44" i="6"/>
  <c r="J57" i="6" s="1"/>
  <c r="J45" i="6"/>
  <c r="K24" i="6" s="1"/>
  <c r="R28" i="8"/>
  <c r="R16" i="8"/>
  <c r="J56" i="6"/>
  <c r="J48" i="6"/>
  <c r="J50" i="6" s="1"/>
  <c r="J52" i="6" s="1"/>
  <c r="S45" i="4"/>
  <c r="T42" i="19" s="1"/>
  <c r="T43" i="19" s="1"/>
  <c r="T12" i="25" l="1"/>
  <c r="T13" i="25" s="1"/>
  <c r="T40" i="4"/>
  <c r="R21" i="8"/>
  <c r="R19" i="8"/>
  <c r="K27" i="6"/>
  <c r="Q33" i="8"/>
  <c r="J58" i="6"/>
  <c r="T16" i="25"/>
  <c r="T22" i="30"/>
  <c r="U16" i="30"/>
  <c r="U18" i="30" l="1"/>
  <c r="R22" i="8"/>
  <c r="S18" i="8" s="1"/>
  <c r="S20" i="8"/>
  <c r="R24" i="8"/>
  <c r="Q38" i="8"/>
  <c r="Q36" i="8"/>
  <c r="T42" i="4"/>
  <c r="S10" i="8"/>
  <c r="S13" i="8" s="1"/>
  <c r="K28" i="6"/>
  <c r="T45" i="4" l="1"/>
  <c r="U42" i="19" s="1"/>
  <c r="U43" i="19" s="1"/>
  <c r="T43" i="4"/>
  <c r="R37" i="8"/>
  <c r="Q41" i="8"/>
  <c r="R15" i="25" s="1"/>
  <c r="R29" i="8"/>
  <c r="R30" i="8" s="1"/>
  <c r="U38" i="4"/>
  <c r="U19" i="30"/>
  <c r="S28" i="8"/>
  <c r="S16" i="8"/>
  <c r="Q39" i="8"/>
  <c r="R35" i="8" s="1"/>
  <c r="K33" i="6"/>
  <c r="K26" i="6"/>
  <c r="K30" i="6" s="1"/>
  <c r="R18" i="25" l="1"/>
  <c r="R21" i="25" s="1"/>
  <c r="S32" i="19"/>
  <c r="S19" i="8"/>
  <c r="S21" i="8"/>
  <c r="U12" i="25"/>
  <c r="U13" i="25" s="1"/>
  <c r="U40" i="4"/>
  <c r="K36" i="6"/>
  <c r="K37" i="6"/>
  <c r="R33" i="8"/>
  <c r="U16" i="25"/>
  <c r="U22" i="30"/>
  <c r="V16" i="30"/>
  <c r="U42" i="4" l="1"/>
  <c r="U45" i="4" s="1"/>
  <c r="V42" i="19" s="1"/>
  <c r="V43" i="19" s="1"/>
  <c r="U43" i="4"/>
  <c r="T10" i="8"/>
  <c r="T13" i="8" s="1"/>
  <c r="S22" i="8"/>
  <c r="R38" i="8"/>
  <c r="R36" i="8"/>
  <c r="S37" i="19"/>
  <c r="S45" i="19" s="1"/>
  <c r="S47" i="19" s="1"/>
  <c r="K42" i="6"/>
  <c r="K35" i="6"/>
  <c r="K39" i="6" s="1"/>
  <c r="R27" i="25"/>
  <c r="R28" i="25" s="1"/>
  <c r="R29" i="25" s="1"/>
  <c r="S25" i="25" s="1"/>
  <c r="R43" i="25"/>
  <c r="R45" i="25" s="1"/>
  <c r="R57" i="25"/>
  <c r="R59" i="25" s="1"/>
  <c r="R37" i="25"/>
  <c r="R38" i="25" s="1"/>
  <c r="R50" i="25"/>
  <c r="R52" i="25" s="1"/>
  <c r="T20" i="8"/>
  <c r="S24" i="8"/>
  <c r="V18" i="30"/>
  <c r="K49" i="6"/>
  <c r="S37" i="8" l="1"/>
  <c r="R41" i="8"/>
  <c r="S15" i="25" s="1"/>
  <c r="K56" i="6"/>
  <c r="K48" i="6"/>
  <c r="K50" i="6" s="1"/>
  <c r="K52" i="6" s="1"/>
  <c r="K45" i="6"/>
  <c r="L24" i="6" s="1"/>
  <c r="K44" i="6"/>
  <c r="K57" i="6" s="1"/>
  <c r="T28" i="8"/>
  <c r="T16" i="8"/>
  <c r="S26" i="25"/>
  <c r="V38" i="4"/>
  <c r="V19" i="30"/>
  <c r="S29" i="8"/>
  <c r="S30" i="8" s="1"/>
  <c r="R39" i="8"/>
  <c r="S35" i="8" s="1"/>
  <c r="K58" i="6" l="1"/>
  <c r="V12" i="25"/>
  <c r="V13" i="25" s="1"/>
  <c r="V40" i="4"/>
  <c r="S33" i="8"/>
  <c r="S18" i="25"/>
  <c r="S21" i="25" s="1"/>
  <c r="T32" i="19"/>
  <c r="T19" i="8"/>
  <c r="T21" i="8"/>
  <c r="V16" i="25"/>
  <c r="V22" i="30"/>
  <c r="W16" i="30"/>
  <c r="L27" i="6"/>
  <c r="T37" i="19" l="1"/>
  <c r="T45" i="19" s="1"/>
  <c r="T47" i="19" s="1"/>
  <c r="W18" i="30"/>
  <c r="S36" i="8"/>
  <c r="S38" i="8"/>
  <c r="L28" i="6"/>
  <c r="U20" i="8"/>
  <c r="T24" i="8"/>
  <c r="V42" i="4"/>
  <c r="V43" i="4"/>
  <c r="V45" i="4" s="1"/>
  <c r="W42" i="19" s="1"/>
  <c r="W43" i="19" s="1"/>
  <c r="U10" i="8"/>
  <c r="U13" i="8" s="1"/>
  <c r="S43" i="25"/>
  <c r="S45" i="25" s="1"/>
  <c r="S27" i="25"/>
  <c r="S28" i="25" s="1"/>
  <c r="S29" i="25" s="1"/>
  <c r="T25" i="25" s="1"/>
  <c r="S37" i="25"/>
  <c r="S38" i="25" s="1"/>
  <c r="S57" i="25"/>
  <c r="S59" i="25" s="1"/>
  <c r="S50" i="25"/>
  <c r="S52" i="25" s="1"/>
  <c r="T22" i="8"/>
  <c r="U18" i="8" s="1"/>
  <c r="L33" i="6" l="1"/>
  <c r="L30" i="6"/>
  <c r="L26" i="6"/>
  <c r="S39" i="8"/>
  <c r="T26" i="25"/>
  <c r="W38" i="4"/>
  <c r="W19" i="30"/>
  <c r="T29" i="8"/>
  <c r="T30" i="8" s="1"/>
  <c r="T37" i="8"/>
  <c r="S41" i="8"/>
  <c r="T15" i="25" s="1"/>
  <c r="U28" i="8"/>
  <c r="U16" i="8"/>
  <c r="W12" i="25" l="1"/>
  <c r="W13" i="25" s="1"/>
  <c r="W40" i="4"/>
  <c r="T18" i="25"/>
  <c r="T21" i="25" s="1"/>
  <c r="U32" i="19"/>
  <c r="U21" i="8"/>
  <c r="U19" i="8"/>
  <c r="T33" i="8"/>
  <c r="W16" i="25"/>
  <c r="W22" i="30"/>
  <c r="X16" i="30"/>
  <c r="L36" i="6"/>
  <c r="L49" i="6" l="1"/>
  <c r="L37" i="6"/>
  <c r="U37" i="19"/>
  <c r="U45" i="19" s="1"/>
  <c r="U47" i="19" s="1"/>
  <c r="V20" i="8"/>
  <c r="U24" i="8"/>
  <c r="T27" i="25"/>
  <c r="T28" i="25" s="1"/>
  <c r="T29" i="25" s="1"/>
  <c r="U25" i="25" s="1"/>
  <c r="T43" i="25"/>
  <c r="T45" i="25" s="1"/>
  <c r="T37" i="25"/>
  <c r="T38" i="25" s="1"/>
  <c r="T57" i="25"/>
  <c r="T59" i="25" s="1"/>
  <c r="T50" i="25"/>
  <c r="T52" i="25" s="1"/>
  <c r="T38" i="8"/>
  <c r="T36" i="8"/>
  <c r="T39" i="8" s="1"/>
  <c r="U35" i="8" s="1"/>
  <c r="U22" i="8"/>
  <c r="V18" i="8" s="1"/>
  <c r="X18" i="30"/>
  <c r="W42" i="4"/>
  <c r="W43" i="4" s="1"/>
  <c r="V10" i="8"/>
  <c r="V13" i="8" s="1"/>
  <c r="W45" i="4" l="1"/>
  <c r="X42" i="19" s="1"/>
  <c r="X43" i="19" s="1"/>
  <c r="X38" i="4"/>
  <c r="X40" i="4" s="1"/>
  <c r="X19" i="30"/>
  <c r="U29" i="8"/>
  <c r="U30" i="8" s="1"/>
  <c r="L42" i="6"/>
  <c r="L35" i="6"/>
  <c r="U26" i="25"/>
  <c r="V16" i="8"/>
  <c r="V28" i="8"/>
  <c r="U37" i="8"/>
  <c r="T41" i="8"/>
  <c r="U15" i="25" s="1"/>
  <c r="L48" i="6" l="1"/>
  <c r="L50" i="6" s="1"/>
  <c r="L52" i="6" s="1"/>
  <c r="L56" i="6"/>
  <c r="L45" i="6"/>
  <c r="M24" i="6" s="1"/>
  <c r="L44" i="6"/>
  <c r="L57" i="6" s="1"/>
  <c r="U33" i="8"/>
  <c r="L39" i="6"/>
  <c r="V21" i="8"/>
  <c r="V19" i="8"/>
  <c r="U18" i="25"/>
  <c r="U21" i="25" s="1"/>
  <c r="V32" i="19"/>
  <c r="X22" i="30"/>
  <c r="Y16" i="30"/>
  <c r="X42" i="4"/>
  <c r="X43" i="4"/>
  <c r="X45" i="4" s="1"/>
  <c r="Y42" i="19" s="1"/>
  <c r="Y43" i="19" s="1"/>
  <c r="W10" i="8"/>
  <c r="W13" i="8" s="1"/>
  <c r="Y18" i="30" l="1"/>
  <c r="U38" i="8"/>
  <c r="U36" i="8"/>
  <c r="U39" i="8" s="1"/>
  <c r="V35" i="8" s="1"/>
  <c r="V37" i="19"/>
  <c r="V45" i="19" s="1"/>
  <c r="V47" i="19" s="1"/>
  <c r="W20" i="8"/>
  <c r="V24" i="8"/>
  <c r="U50" i="25"/>
  <c r="U52" i="25" s="1"/>
  <c r="U27" i="25"/>
  <c r="U28" i="25" s="1"/>
  <c r="U29" i="25" s="1"/>
  <c r="V25" i="25" s="1"/>
  <c r="U37" i="25"/>
  <c r="U38" i="25" s="1"/>
  <c r="U43" i="25"/>
  <c r="U45" i="25" s="1"/>
  <c r="U57" i="25"/>
  <c r="U59" i="25" s="1"/>
  <c r="M27" i="6"/>
  <c r="W16" i="8"/>
  <c r="W28" i="8"/>
  <c r="V22" i="8"/>
  <c r="W18" i="8" s="1"/>
  <c r="L58" i="6"/>
  <c r="V26" i="25" l="1"/>
  <c r="W21" i="8"/>
  <c r="W19" i="8"/>
  <c r="V37" i="8"/>
  <c r="U41" i="8"/>
  <c r="V15" i="25" s="1"/>
  <c r="M28" i="6"/>
  <c r="Y38" i="4"/>
  <c r="Y40" i="4" s="1"/>
  <c r="Y19" i="30"/>
  <c r="V29" i="8"/>
  <c r="V30" i="8" s="1"/>
  <c r="W22" i="8"/>
  <c r="X18" i="8" s="1"/>
  <c r="V33" i="8" l="1"/>
  <c r="Y22" i="30"/>
  <c r="Z16" i="30"/>
  <c r="X20" i="8"/>
  <c r="W24" i="8"/>
  <c r="Y42" i="4"/>
  <c r="X10" i="8"/>
  <c r="X13" i="8" s="1"/>
  <c r="M30" i="6"/>
  <c r="M33" i="6"/>
  <c r="M26" i="6"/>
  <c r="V18" i="25"/>
  <c r="V21" i="25" s="1"/>
  <c r="W32" i="19"/>
  <c r="Y45" i="4" l="1"/>
  <c r="Z42" i="19" s="1"/>
  <c r="Z43" i="19" s="1"/>
  <c r="V38" i="8"/>
  <c r="V36" i="8"/>
  <c r="V39" i="8" s="1"/>
  <c r="W35" i="8" s="1"/>
  <c r="W29" i="8"/>
  <c r="W30" i="8" s="1"/>
  <c r="M36" i="6"/>
  <c r="X28" i="8"/>
  <c r="X16" i="8"/>
  <c r="V27" i="25"/>
  <c r="V28" i="25" s="1"/>
  <c r="V29" i="25" s="1"/>
  <c r="W25" i="25" s="1"/>
  <c r="V37" i="25"/>
  <c r="V38" i="25" s="1"/>
  <c r="V50" i="25"/>
  <c r="V52" i="25" s="1"/>
  <c r="V43" i="25"/>
  <c r="V45" i="25" s="1"/>
  <c r="V57" i="25"/>
  <c r="V59" i="25" s="1"/>
  <c r="Y43" i="4"/>
  <c r="Z18" i="30"/>
  <c r="W37" i="19"/>
  <c r="W45" i="19" s="1"/>
  <c r="W47" i="19" s="1"/>
  <c r="M49" i="6" l="1"/>
  <c r="M37" i="6"/>
  <c r="W26" i="25"/>
  <c r="Z38" i="4"/>
  <c r="Z40" i="4" s="1"/>
  <c r="Z19" i="30"/>
  <c r="X21" i="8"/>
  <c r="X19" i="8"/>
  <c r="W33" i="8"/>
  <c r="W37" i="8"/>
  <c r="V41" i="8"/>
  <c r="W15" i="25" s="1"/>
  <c r="Z22" i="30" l="1"/>
  <c r="AA16" i="30"/>
  <c r="Z42" i="4"/>
  <c r="Z43" i="4" s="1"/>
  <c r="Z45" i="4" s="1"/>
  <c r="AA42" i="19" s="1"/>
  <c r="AA43" i="19" s="1"/>
  <c r="Y10" i="8"/>
  <c r="Y13" i="8" s="1"/>
  <c r="M42" i="6"/>
  <c r="M35" i="6"/>
  <c r="W18" i="25"/>
  <c r="W21" i="25" s="1"/>
  <c r="X32" i="19"/>
  <c r="W36" i="8"/>
  <c r="W38" i="8"/>
  <c r="X22" i="8"/>
  <c r="Y18" i="8" s="1"/>
  <c r="Y20" i="8"/>
  <c r="X24" i="8"/>
  <c r="M45" i="6" l="1"/>
  <c r="N24" i="6" s="1"/>
  <c r="M44" i="6"/>
  <c r="M57" i="6" s="1"/>
  <c r="Y28" i="8"/>
  <c r="Y16" i="8"/>
  <c r="X37" i="8"/>
  <c r="W41" i="8"/>
  <c r="X15" i="25" s="1"/>
  <c r="Y32" i="19" s="1"/>
  <c r="W39" i="8"/>
  <c r="X35" i="8" s="1"/>
  <c r="M48" i="6"/>
  <c r="M50" i="6" s="1"/>
  <c r="M52" i="6" s="1"/>
  <c r="M56" i="6"/>
  <c r="M58" i="6" s="1"/>
  <c r="X29" i="8"/>
  <c r="X30" i="8" s="1"/>
  <c r="X37" i="19"/>
  <c r="X45" i="19" s="1"/>
  <c r="X47" i="19" s="1"/>
  <c r="M39" i="6"/>
  <c r="W27" i="25"/>
  <c r="W28" i="25" s="1"/>
  <c r="W29" i="25" s="1"/>
  <c r="X25" i="25" s="1"/>
  <c r="W37" i="25"/>
  <c r="W38" i="25" s="1"/>
  <c r="W43" i="25"/>
  <c r="W45" i="25" s="1"/>
  <c r="W50" i="25"/>
  <c r="W52" i="25" s="1"/>
  <c r="W57" i="25"/>
  <c r="W59" i="25" s="1"/>
  <c r="AA18" i="30"/>
  <c r="Y37" i="19" l="1"/>
  <c r="Y45" i="19" s="1"/>
  <c r="Y47" i="19" s="1"/>
  <c r="AA38" i="4"/>
  <c r="AA40" i="4" s="1"/>
  <c r="AA19" i="30"/>
  <c r="X33" i="8"/>
  <c r="Y21" i="8"/>
  <c r="Y19" i="8"/>
  <c r="C40" i="25"/>
  <c r="C39" i="25"/>
  <c r="B9" i="16" s="1"/>
  <c r="B12" i="16" s="1"/>
  <c r="X26" i="25"/>
  <c r="N28" i="6"/>
  <c r="N27" i="6"/>
  <c r="Y22" i="8" l="1"/>
  <c r="Z18" i="8" s="1"/>
  <c r="N33" i="6"/>
  <c r="X36" i="8"/>
  <c r="X38" i="8"/>
  <c r="N26" i="6"/>
  <c r="N30" i="6" s="1"/>
  <c r="AA22" i="30"/>
  <c r="AB16" i="30"/>
  <c r="AA42" i="4"/>
  <c r="AA43" i="4" s="1"/>
  <c r="Z10" i="8"/>
  <c r="Z13" i="8" s="1"/>
  <c r="Z20" i="8"/>
  <c r="Y24" i="8"/>
  <c r="AB18" i="30" l="1"/>
  <c r="Y37" i="8"/>
  <c r="X41" i="8"/>
  <c r="Y15" i="25" s="1"/>
  <c r="Z32" i="19" s="1"/>
  <c r="Z28" i="8"/>
  <c r="Z16" i="8"/>
  <c r="X39" i="8"/>
  <c r="Y35" i="8" s="1"/>
  <c r="AA45" i="4"/>
  <c r="AB42" i="19" s="1"/>
  <c r="AB43" i="19" s="1"/>
  <c r="N36" i="6"/>
  <c r="Y29" i="8"/>
  <c r="Y30" i="8" s="1"/>
  <c r="Y33" i="8" l="1"/>
  <c r="Z21" i="8"/>
  <c r="Z19" i="8"/>
  <c r="Z22" i="8" s="1"/>
  <c r="AA18" i="8" s="1"/>
  <c r="N49" i="6"/>
  <c r="N37" i="6"/>
  <c r="AB38" i="4"/>
  <c r="AB40" i="4" s="1"/>
  <c r="AB19" i="30"/>
  <c r="Z37" i="19"/>
  <c r="Z45" i="19" s="1"/>
  <c r="Z47" i="19" s="1"/>
  <c r="Y38" i="8" l="1"/>
  <c r="Y36" i="8"/>
  <c r="Y39" i="8" s="1"/>
  <c r="Z35" i="8" s="1"/>
  <c r="N42" i="6"/>
  <c r="N35" i="6"/>
  <c r="AB22" i="30"/>
  <c r="AC16" i="30"/>
  <c r="AA20" i="8"/>
  <c r="Z24" i="8"/>
  <c r="AB42" i="4"/>
  <c r="AA10" i="8"/>
  <c r="AA13" i="8" s="1"/>
  <c r="AC18" i="30" l="1"/>
  <c r="AB43" i="4"/>
  <c r="AB45" i="4" s="1"/>
  <c r="AC42" i="19" s="1"/>
  <c r="AC43" i="19" s="1"/>
  <c r="N48" i="6"/>
  <c r="N50" i="6" s="1"/>
  <c r="N52" i="6" s="1"/>
  <c r="N56" i="6"/>
  <c r="N45" i="6"/>
  <c r="O24" i="6" s="1"/>
  <c r="N44" i="6"/>
  <c r="N57" i="6" s="1"/>
  <c r="N39" i="6"/>
  <c r="Z29" i="8"/>
  <c r="Z30" i="8" s="1"/>
  <c r="Z37" i="8"/>
  <c r="Y41" i="8"/>
  <c r="Z15" i="25" s="1"/>
  <c r="AA32" i="19" s="1"/>
  <c r="AA28" i="8"/>
  <c r="AA16" i="8"/>
  <c r="O27" i="6" l="1"/>
  <c r="AA37" i="19"/>
  <c r="AA45" i="19" s="1"/>
  <c r="AA47" i="19" s="1"/>
  <c r="AC38" i="4"/>
  <c r="AC40" i="4" s="1"/>
  <c r="AC19" i="30"/>
  <c r="AA19" i="8"/>
  <c r="AA22" i="8" s="1"/>
  <c r="AB18" i="8" s="1"/>
  <c r="AA21" i="8"/>
  <c r="Z33" i="8"/>
  <c r="N58" i="6"/>
  <c r="AC42" i="4" l="1"/>
  <c r="AB10" i="8"/>
  <c r="AB13" i="8" s="1"/>
  <c r="AC22" i="30"/>
  <c r="AD16" i="30"/>
  <c r="Z36" i="8"/>
  <c r="Z39" i="8" s="1"/>
  <c r="AA35" i="8" s="1"/>
  <c r="Z38" i="8"/>
  <c r="AB20" i="8"/>
  <c r="AA24" i="8"/>
  <c r="O28" i="6"/>
  <c r="AC45" i="4" l="1"/>
  <c r="AD42" i="19" s="1"/>
  <c r="AD43" i="19" s="1"/>
  <c r="AD18" i="30"/>
  <c r="AA29" i="8"/>
  <c r="AA30" i="8" s="1"/>
  <c r="AC43" i="4"/>
  <c r="O33" i="6"/>
  <c r="O30" i="6"/>
  <c r="O26" i="6"/>
  <c r="AB28" i="8"/>
  <c r="AB16" i="8"/>
  <c r="AA37" i="8"/>
  <c r="Z41" i="8"/>
  <c r="AA15" i="25" s="1"/>
  <c r="AB32" i="19" s="1"/>
  <c r="O36" i="6" l="1"/>
  <c r="AA33" i="8"/>
  <c r="AB19" i="8"/>
  <c r="AB22" i="8" s="1"/>
  <c r="AC18" i="8" s="1"/>
  <c r="AB21" i="8"/>
  <c r="AD38" i="4"/>
  <c r="AD40" i="4" s="1"/>
  <c r="AD19" i="30"/>
  <c r="AB37" i="19"/>
  <c r="AB45" i="19" s="1"/>
  <c r="AB47" i="19" s="1"/>
  <c r="O49" i="6" l="1"/>
  <c r="AA38" i="8"/>
  <c r="AA36" i="8"/>
  <c r="AA39" i="8" s="1"/>
  <c r="AB35" i="8" s="1"/>
  <c r="AD22" i="30"/>
  <c r="AE16" i="30"/>
  <c r="AD42" i="4"/>
  <c r="AD43" i="4" s="1"/>
  <c r="AD45" i="4" s="1"/>
  <c r="AE42" i="19" s="1"/>
  <c r="AE43" i="19" s="1"/>
  <c r="AC10" i="8"/>
  <c r="AC13" i="8" s="1"/>
  <c r="AC20" i="8"/>
  <c r="AB24" i="8"/>
  <c r="O37" i="6"/>
  <c r="AE18" i="30" l="1"/>
  <c r="AB29" i="8"/>
  <c r="AB30" i="8" s="1"/>
  <c r="O42" i="6"/>
  <c r="O35" i="6"/>
  <c r="AB37" i="8"/>
  <c r="AA41" i="8"/>
  <c r="AB15" i="25" s="1"/>
  <c r="AC32" i="19" s="1"/>
  <c r="AC28" i="8"/>
  <c r="AC16" i="8"/>
  <c r="O48" i="6" l="1"/>
  <c r="O50" i="6" s="1"/>
  <c r="O52" i="6" s="1"/>
  <c r="O56" i="6"/>
  <c r="O39" i="6"/>
  <c r="AC21" i="8"/>
  <c r="AC19" i="8"/>
  <c r="AC22" i="8" s="1"/>
  <c r="AD18" i="8" s="1"/>
  <c r="AB33" i="8"/>
  <c r="O45" i="6"/>
  <c r="P24" i="6" s="1"/>
  <c r="O44" i="6"/>
  <c r="O57" i="6" s="1"/>
  <c r="AC37" i="19"/>
  <c r="AC45" i="19" s="1"/>
  <c r="AC47" i="19" s="1"/>
  <c r="AE38" i="4"/>
  <c r="AE40" i="4" s="1"/>
  <c r="AE19" i="30"/>
  <c r="AB38" i="8" l="1"/>
  <c r="AB36" i="8"/>
  <c r="AB39" i="8" s="1"/>
  <c r="AC35" i="8" s="1"/>
  <c r="AE42" i="4"/>
  <c r="AE45" i="4" s="1"/>
  <c r="AF42" i="19" s="1"/>
  <c r="AF43" i="19" s="1"/>
  <c r="AE43" i="4"/>
  <c r="AD10" i="8"/>
  <c r="AD13" i="8" s="1"/>
  <c r="AD20" i="8"/>
  <c r="AC24" i="8"/>
  <c r="O58" i="6"/>
  <c r="AE22" i="30"/>
  <c r="AF16" i="30"/>
  <c r="AF18" i="30" s="1"/>
  <c r="P27" i="6"/>
  <c r="AC29" i="8" l="1"/>
  <c r="AC30" i="8" s="1"/>
  <c r="AD16" i="8"/>
  <c r="AD28" i="8"/>
  <c r="P28" i="6"/>
  <c r="AF38" i="4"/>
  <c r="AF40" i="4" s="1"/>
  <c r="AF19" i="30"/>
  <c r="AF22" i="30" s="1"/>
  <c r="AC37" i="8"/>
  <c r="AB41" i="8"/>
  <c r="AC15" i="25" s="1"/>
  <c r="AD32" i="19" s="1"/>
  <c r="P33" i="6" l="1"/>
  <c r="P26" i="6"/>
  <c r="P30" i="6" s="1"/>
  <c r="C23" i="30"/>
  <c r="C69" i="2" s="1"/>
  <c r="C24" i="30"/>
  <c r="D69" i="2" s="1"/>
  <c r="AC33" i="8"/>
  <c r="AD37" i="19"/>
  <c r="AD45" i="19" s="1"/>
  <c r="AD47" i="19" s="1"/>
  <c r="AD21" i="8"/>
  <c r="AD19" i="8"/>
  <c r="AF42" i="4"/>
  <c r="AF45" i="4" s="1"/>
  <c r="AG42" i="19" s="1"/>
  <c r="AG43" i="19" s="1"/>
  <c r="AF43" i="4"/>
  <c r="AE10" i="8"/>
  <c r="AE13" i="8" s="1"/>
  <c r="AC38" i="8" l="1"/>
  <c r="AC36" i="8"/>
  <c r="AC39" i="8" s="1"/>
  <c r="AD35" i="8" s="1"/>
  <c r="AD22" i="8"/>
  <c r="AE18" i="8" s="1"/>
  <c r="AE16" i="8"/>
  <c r="AE28" i="8"/>
  <c r="AE20" i="8"/>
  <c r="AD24" i="8"/>
  <c r="P36" i="6"/>
  <c r="P37" i="6"/>
  <c r="AD29" i="8" l="1"/>
  <c r="AD30" i="8" s="1"/>
  <c r="AE21" i="8"/>
  <c r="AE19" i="8"/>
  <c r="AE22" i="8" s="1"/>
  <c r="AF18" i="8" s="1"/>
  <c r="P39" i="6"/>
  <c r="P42" i="6"/>
  <c r="P49" i="6"/>
  <c r="P35" i="6"/>
  <c r="AD37" i="8"/>
  <c r="AC41" i="8"/>
  <c r="AD15" i="25" s="1"/>
  <c r="AE32" i="19" s="1"/>
  <c r="AF21" i="8" l="1"/>
  <c r="AF24" i="8" s="1"/>
  <c r="AE37" i="19"/>
  <c r="AE45" i="19" s="1"/>
  <c r="AE47" i="19" s="1"/>
  <c r="AF20" i="8"/>
  <c r="AF22" i="8" s="1"/>
  <c r="AE24" i="8"/>
  <c r="AD33" i="8"/>
  <c r="P48" i="6"/>
  <c r="P50" i="6" s="1"/>
  <c r="P52" i="6" s="1"/>
  <c r="P56" i="6"/>
  <c r="P45" i="6"/>
  <c r="Q24" i="6" s="1"/>
  <c r="P44" i="6"/>
  <c r="P57" i="6" s="1"/>
  <c r="AD38" i="8" l="1"/>
  <c r="AD36" i="8"/>
  <c r="AE29" i="8"/>
  <c r="AE30" i="8" s="1"/>
  <c r="Q27" i="6"/>
  <c r="Q28" i="6" s="1"/>
  <c r="P58" i="6"/>
  <c r="AF29" i="8"/>
  <c r="AF30" i="8" s="1"/>
  <c r="Q33" i="6" l="1"/>
  <c r="Q26" i="6"/>
  <c r="Q30" i="6" s="1"/>
  <c r="AE37" i="8"/>
  <c r="AD41" i="8"/>
  <c r="AE15" i="25" s="1"/>
  <c r="AF32" i="19" s="1"/>
  <c r="AE33" i="8"/>
  <c r="AF33" i="8"/>
  <c r="AD39" i="8"/>
  <c r="AE35" i="8" s="1"/>
  <c r="AF36" i="8" l="1"/>
  <c r="AE36" i="8"/>
  <c r="AE39" i="8" s="1"/>
  <c r="AF35" i="8" s="1"/>
  <c r="AE38" i="8"/>
  <c r="AF37" i="19"/>
  <c r="AF45" i="19" s="1"/>
  <c r="AF47" i="19" s="1"/>
  <c r="Q36" i="6"/>
  <c r="AF39" i="8" l="1"/>
  <c r="AF38" i="8"/>
  <c r="AF41" i="8" s="1"/>
  <c r="AG15" i="25" s="1"/>
  <c r="AF37" i="8"/>
  <c r="AE41" i="8"/>
  <c r="AF15" i="25" s="1"/>
  <c r="AG32" i="19" s="1"/>
  <c r="Q49" i="6"/>
  <c r="Q37" i="6"/>
  <c r="Q42" i="6" l="1"/>
  <c r="Q35" i="6"/>
  <c r="Q39" i="6" s="1"/>
  <c r="AH32" i="19"/>
  <c r="AH37" i="19" s="1"/>
  <c r="AH45" i="19" s="1"/>
  <c r="AH47" i="19" s="1"/>
  <c r="AG37" i="19"/>
  <c r="AG45" i="19" s="1"/>
  <c r="AG47" i="19" s="1"/>
  <c r="Q48" i="6" l="1"/>
  <c r="Q50" i="6" s="1"/>
  <c r="Q52" i="6" s="1"/>
  <c r="Q56" i="6"/>
  <c r="Q44" i="6"/>
  <c r="Q57" i="6" s="1"/>
  <c r="Q45" i="6"/>
  <c r="R24" i="6" s="1"/>
  <c r="R27" i="6" l="1"/>
  <c r="R28" i="6"/>
  <c r="Q58" i="6"/>
  <c r="R33" i="6" l="1"/>
  <c r="R26" i="6"/>
  <c r="R30" i="6" s="1"/>
  <c r="R36" i="6" l="1"/>
  <c r="R49" i="6" l="1"/>
  <c r="R37" i="6"/>
  <c r="R42" i="6" l="1"/>
  <c r="R35" i="6"/>
  <c r="R39" i="6" s="1"/>
  <c r="R56" i="6" l="1"/>
  <c r="R48" i="6"/>
  <c r="R50" i="6" s="1"/>
  <c r="R52" i="6" s="1"/>
  <c r="R44" i="6"/>
  <c r="R57" i="6" s="1"/>
  <c r="R45" i="6"/>
  <c r="S24" i="6" s="1"/>
  <c r="S27" i="6" l="1"/>
  <c r="R58" i="6"/>
  <c r="S28" i="6" l="1"/>
  <c r="S33" i="6" l="1"/>
  <c r="S30" i="6"/>
  <c r="S26" i="6"/>
  <c r="S36" i="6" l="1"/>
  <c r="S52" i="6"/>
  <c r="S49" i="6" l="1"/>
  <c r="S37" i="6"/>
  <c r="S39" i="6" l="1"/>
  <c r="S42" i="6"/>
  <c r="S35" i="6"/>
  <c r="S56" i="6" l="1"/>
  <c r="S48" i="6"/>
  <c r="S50" i="6" s="1"/>
  <c r="S45" i="6"/>
  <c r="T24" i="6" s="1"/>
  <c r="S44" i="6"/>
  <c r="S57" i="6" s="1"/>
  <c r="T28" i="6" l="1"/>
  <c r="T27" i="6"/>
  <c r="S58" i="6"/>
  <c r="T33" i="6" l="1"/>
  <c r="T30" i="6"/>
  <c r="T26" i="6"/>
  <c r="T37" i="6" l="1"/>
  <c r="T36" i="6"/>
  <c r="T52" i="6"/>
  <c r="T39" i="6" l="1"/>
  <c r="T42" i="6"/>
  <c r="T35" i="6"/>
  <c r="T49" i="6"/>
  <c r="T48" i="6" l="1"/>
  <c r="T50" i="6" s="1"/>
  <c r="T56" i="6"/>
  <c r="T45" i="6"/>
  <c r="U24" i="6" s="1"/>
  <c r="T44" i="6"/>
  <c r="T57" i="6" s="1"/>
  <c r="U27" i="6" l="1"/>
  <c r="T58" i="6"/>
  <c r="U28" i="6" l="1"/>
  <c r="U33" i="6" l="1"/>
  <c r="U30" i="6"/>
  <c r="U26" i="6"/>
  <c r="U36" i="6" l="1"/>
  <c r="U52" i="6"/>
  <c r="U49" i="6" l="1"/>
  <c r="U37" i="6"/>
  <c r="U39" i="6" l="1"/>
  <c r="U42" i="6"/>
  <c r="U35" i="6"/>
  <c r="U48" i="6" l="1"/>
  <c r="U50" i="6" s="1"/>
  <c r="U56" i="6"/>
  <c r="U45" i="6"/>
  <c r="V24" i="6" s="1"/>
  <c r="U44" i="6"/>
  <c r="U57" i="6" s="1"/>
  <c r="U58" i="6" l="1"/>
  <c r="V27" i="6"/>
  <c r="V28" i="6" l="1"/>
  <c r="V30" i="6" l="1"/>
  <c r="B20" i="6"/>
  <c r="V33" i="6"/>
  <c r="V26" i="6"/>
  <c r="V36" i="6" l="1"/>
  <c r="V52" i="6"/>
  <c r="V49" i="6" l="1"/>
  <c r="V37" i="6"/>
  <c r="V39" i="6" l="1"/>
  <c r="V42" i="6"/>
  <c r="V35" i="6"/>
  <c r="V48" i="6" l="1"/>
  <c r="V50" i="6" s="1"/>
  <c r="V56" i="6"/>
  <c r="V45" i="6"/>
  <c r="W24" i="6" s="1"/>
  <c r="V44" i="6"/>
  <c r="V57" i="6" l="1"/>
  <c r="W27" i="6"/>
  <c r="V58" i="6"/>
  <c r="W28" i="6" l="1"/>
  <c r="W33" i="6" l="1"/>
  <c r="W30" i="6"/>
  <c r="W26" i="6"/>
  <c r="W36" i="6" l="1"/>
  <c r="W52" i="6"/>
  <c r="W49" i="6" l="1"/>
  <c r="X12" i="25"/>
  <c r="X13" i="25" s="1"/>
  <c r="W37" i="6"/>
  <c r="W39" i="6" l="1"/>
  <c r="W42" i="6"/>
  <c r="W35" i="6"/>
  <c r="W48" i="6" l="1"/>
  <c r="W56" i="6"/>
  <c r="W45" i="6"/>
  <c r="X24" i="6" s="1"/>
  <c r="W44" i="6"/>
  <c r="W57" i="6" l="1"/>
  <c r="W58" i="6" s="1"/>
  <c r="X27" i="6"/>
  <c r="X28" i="6" s="1"/>
  <c r="W50" i="6"/>
  <c r="X16" i="25"/>
  <c r="X18" i="25" s="1"/>
  <c r="X21" i="25" s="1"/>
  <c r="X30" i="6" l="1"/>
  <c r="X33" i="6"/>
  <c r="X26" i="6"/>
  <c r="X27" i="25"/>
  <c r="X28" i="25" s="1"/>
  <c r="X29" i="25" s="1"/>
  <c r="Y25" i="25" s="1"/>
  <c r="X50" i="25"/>
  <c r="X52" i="25" s="1"/>
  <c r="X37" i="25"/>
  <c r="X38" i="25" s="1"/>
  <c r="X43" i="25"/>
  <c r="X45" i="25" s="1"/>
  <c r="X57" i="25"/>
  <c r="X59" i="25" s="1"/>
  <c r="Y26" i="25" l="1"/>
  <c r="X36" i="6"/>
  <c r="X52" i="6"/>
  <c r="Y12" i="25" l="1"/>
  <c r="Y13" i="25" s="1"/>
  <c r="X49" i="6"/>
  <c r="X37" i="6"/>
  <c r="X39" i="6" l="1"/>
  <c r="X42" i="6"/>
  <c r="X35" i="6"/>
  <c r="X56" i="6" l="1"/>
  <c r="X48" i="6"/>
  <c r="X45" i="6"/>
  <c r="Y24" i="6" s="1"/>
  <c r="X44" i="6"/>
  <c r="X57" i="6" l="1"/>
  <c r="X50" i="6"/>
  <c r="Y16" i="25"/>
  <c r="Y18" i="25" s="1"/>
  <c r="Y21" i="25" s="1"/>
  <c r="Y27" i="6"/>
  <c r="Y28" i="6" s="1"/>
  <c r="X58" i="6"/>
  <c r="Y33" i="6" l="1"/>
  <c r="Y30" i="6"/>
  <c r="Y26" i="6"/>
  <c r="Y27" i="25"/>
  <c r="Y28" i="25" s="1"/>
  <c r="Y29" i="25" s="1"/>
  <c r="Z25" i="25" s="1"/>
  <c r="Y50" i="25"/>
  <c r="Y52" i="25" s="1"/>
  <c r="Y57" i="25"/>
  <c r="Y59" i="25" s="1"/>
  <c r="Y37" i="25"/>
  <c r="Y38" i="25" s="1"/>
  <c r="Y43" i="25"/>
  <c r="Y45" i="25" s="1"/>
  <c r="Y36" i="6" l="1"/>
  <c r="Y52" i="6"/>
  <c r="Z26" i="25"/>
  <c r="Z12" i="25" l="1"/>
  <c r="Z13" i="25" s="1"/>
  <c r="Y49" i="6"/>
  <c r="Y37" i="6"/>
  <c r="Y42" i="6" l="1"/>
  <c r="Y39" i="6"/>
  <c r="Y35" i="6"/>
  <c r="Y44" i="6" l="1"/>
  <c r="Y45" i="6"/>
  <c r="Z24" i="6" s="1"/>
  <c r="Y48" i="6"/>
  <c r="Y56" i="6"/>
  <c r="Y58" i="6" l="1"/>
  <c r="Y50" i="6"/>
  <c r="Z16" i="25"/>
  <c r="Z18" i="25" s="1"/>
  <c r="Z21" i="25" s="1"/>
  <c r="Y57" i="6"/>
  <c r="Z27" i="6"/>
  <c r="Z28" i="6"/>
  <c r="Z33" i="6" l="1"/>
  <c r="Z30" i="6"/>
  <c r="Z26" i="6"/>
  <c r="Z27" i="25"/>
  <c r="Z28" i="25" s="1"/>
  <c r="Z29" i="25" s="1"/>
  <c r="AA25" i="25" s="1"/>
  <c r="Z57" i="25"/>
  <c r="Z59" i="25" s="1"/>
  <c r="Z50" i="25"/>
  <c r="Z52" i="25" s="1"/>
  <c r="Z37" i="25"/>
  <c r="Z38" i="25" s="1"/>
  <c r="Z43" i="25"/>
  <c r="Z45" i="25" s="1"/>
  <c r="AA26" i="25" l="1"/>
  <c r="Z52" i="6"/>
  <c r="Z36" i="6"/>
  <c r="AA12" i="25" l="1"/>
  <c r="AA13" i="25" s="1"/>
  <c r="Z49" i="6"/>
  <c r="Z37" i="6"/>
  <c r="Z42" i="6" l="1"/>
  <c r="Z39" i="6"/>
  <c r="Z35" i="6"/>
  <c r="Z56" i="6" l="1"/>
  <c r="Z48" i="6"/>
  <c r="Z44" i="6"/>
  <c r="Z45" i="6"/>
  <c r="AA24" i="6" s="1"/>
  <c r="AA27" i="6" l="1"/>
  <c r="AA28" i="6" s="1"/>
  <c r="Z57" i="6"/>
  <c r="Z58" i="6"/>
  <c r="Z50" i="6"/>
  <c r="AA16" i="25"/>
  <c r="AA18" i="25" s="1"/>
  <c r="AA21" i="25" s="1"/>
  <c r="AA33" i="6" l="1"/>
  <c r="AA30" i="6"/>
  <c r="AA26" i="6"/>
  <c r="AA43" i="25"/>
  <c r="AA45" i="25" s="1"/>
  <c r="AA27" i="25"/>
  <c r="AA28" i="25" s="1"/>
  <c r="AA29" i="25" s="1"/>
  <c r="AB25" i="25" s="1"/>
  <c r="AA37" i="25"/>
  <c r="AA38" i="25" s="1"/>
  <c r="AA57" i="25"/>
  <c r="AA59" i="25" s="1"/>
  <c r="AA50" i="25"/>
  <c r="AA52" i="25" s="1"/>
  <c r="AB26" i="25" l="1"/>
  <c r="AA36" i="6"/>
  <c r="AA52" i="6"/>
  <c r="AA49" i="6" l="1"/>
  <c r="AB12" i="25"/>
  <c r="AB13" i="25" s="1"/>
  <c r="AA37" i="6"/>
  <c r="AA42" i="6" l="1"/>
  <c r="AA39" i="6"/>
  <c r="AA35" i="6"/>
  <c r="AA56" i="6" l="1"/>
  <c r="AA48" i="6"/>
  <c r="AA45" i="6"/>
  <c r="AB24" i="6" s="1"/>
  <c r="AA44" i="6"/>
  <c r="AA57" i="6" l="1"/>
  <c r="AB27" i="6"/>
  <c r="AA58" i="6"/>
  <c r="AA50" i="6"/>
  <c r="AB16" i="25"/>
  <c r="AB18" i="25" s="1"/>
  <c r="AB21" i="25" s="1"/>
  <c r="AB28" i="6" l="1"/>
  <c r="AB43" i="25"/>
  <c r="AB45" i="25" s="1"/>
  <c r="AB27" i="25"/>
  <c r="AB28" i="25" s="1"/>
  <c r="AB29" i="25" s="1"/>
  <c r="AC25" i="25" s="1"/>
  <c r="AB57" i="25"/>
  <c r="AB59" i="25" s="1"/>
  <c r="AB50" i="25"/>
  <c r="AB52" i="25" s="1"/>
  <c r="AB37" i="25"/>
  <c r="AB38" i="25" s="1"/>
  <c r="AC26" i="25" l="1"/>
  <c r="AB33" i="6"/>
  <c r="AB30" i="6"/>
  <c r="AB26" i="6"/>
  <c r="AB37" i="6" l="1"/>
  <c r="AB36" i="6"/>
  <c r="AB52" i="6"/>
  <c r="AB39" i="6" l="1"/>
  <c r="AB42" i="6"/>
  <c r="AB35" i="6"/>
  <c r="AC12" i="25"/>
  <c r="AC13" i="25" s="1"/>
  <c r="AB49" i="6"/>
  <c r="AB56" i="6" l="1"/>
  <c r="AB48" i="6"/>
  <c r="AB45" i="6"/>
  <c r="AC24" i="6" s="1"/>
  <c r="AB44" i="6"/>
  <c r="AC27" i="6" l="1"/>
  <c r="AB50" i="6"/>
  <c r="AC16" i="25"/>
  <c r="AC18" i="25" s="1"/>
  <c r="AC21" i="25" s="1"/>
  <c r="AB57" i="6"/>
  <c r="AB58" i="6" s="1"/>
  <c r="AC50" i="25" l="1"/>
  <c r="AC52" i="25" s="1"/>
  <c r="AC27" i="25"/>
  <c r="AC28" i="25" s="1"/>
  <c r="AC29" i="25" s="1"/>
  <c r="AD25" i="25" s="1"/>
  <c r="AC37" i="25"/>
  <c r="AC38" i="25" s="1"/>
  <c r="AC43" i="25"/>
  <c r="AC45" i="25" s="1"/>
  <c r="AC57" i="25"/>
  <c r="AC59" i="25" s="1"/>
  <c r="AC28" i="6"/>
  <c r="AC30" i="6" l="1"/>
  <c r="AC33" i="6"/>
  <c r="AC26" i="6"/>
  <c r="AD26" i="25"/>
  <c r="AC37" i="6" l="1"/>
  <c r="AC35" i="6" s="1"/>
  <c r="AC36" i="6"/>
  <c r="AC52" i="6"/>
  <c r="AC56" i="6" l="1"/>
  <c r="AC48" i="6"/>
  <c r="AD12" i="25"/>
  <c r="AD13" i="25" s="1"/>
  <c r="AC49" i="6"/>
  <c r="AC42" i="6"/>
  <c r="AC39" i="6"/>
  <c r="AC45" i="6" l="1"/>
  <c r="AD24" i="6" s="1"/>
  <c r="AC44" i="6"/>
  <c r="AC50" i="6"/>
  <c r="AD16" i="25"/>
  <c r="AD18" i="25" s="1"/>
  <c r="AD21" i="25" s="1"/>
  <c r="AD27" i="25" l="1"/>
  <c r="AD28" i="25" s="1"/>
  <c r="AD29" i="25" s="1"/>
  <c r="AE25" i="25" s="1"/>
  <c r="AD37" i="25"/>
  <c r="AD38" i="25" s="1"/>
  <c r="AD43" i="25"/>
  <c r="AD45" i="25" s="1"/>
  <c r="AD57" i="25"/>
  <c r="AD59" i="25" s="1"/>
  <c r="AD50" i="25"/>
  <c r="AD52" i="25" s="1"/>
  <c r="AC57" i="6"/>
  <c r="AC58" i="6" s="1"/>
  <c r="AD28" i="6"/>
  <c r="AD27" i="6"/>
  <c r="AD30" i="6" l="1"/>
  <c r="AD33" i="6"/>
  <c r="AD26" i="6"/>
  <c r="AE26" i="25"/>
  <c r="AD36" i="6" l="1"/>
  <c r="AD52" i="6"/>
  <c r="AE12" i="25" l="1"/>
  <c r="AE13" i="25" s="1"/>
  <c r="AD49" i="6"/>
  <c r="AD37" i="6"/>
  <c r="AD39" i="6" l="1"/>
  <c r="AD42" i="6"/>
  <c r="AD35" i="6"/>
  <c r="AD48" i="6" l="1"/>
  <c r="AD56" i="6"/>
  <c r="AD45" i="6"/>
  <c r="AE24" i="6" s="1"/>
  <c r="AD44" i="6"/>
  <c r="AD57" i="6" l="1"/>
  <c r="AE27" i="6"/>
  <c r="AD58" i="6"/>
  <c r="AD50" i="6"/>
  <c r="AE16" i="25"/>
  <c r="AE18" i="25" s="1"/>
  <c r="AE21" i="25" s="1"/>
  <c r="AE27" i="25" l="1"/>
  <c r="AE28" i="25" s="1"/>
  <c r="AE29" i="25" s="1"/>
  <c r="AF25" i="25" s="1"/>
  <c r="AE37" i="25"/>
  <c r="AE38" i="25" s="1"/>
  <c r="AE43" i="25"/>
  <c r="AE45" i="25" s="1"/>
  <c r="AE50" i="25"/>
  <c r="AE52" i="25" s="1"/>
  <c r="AE57" i="25"/>
  <c r="AE59" i="25" s="1"/>
  <c r="AE28" i="6"/>
  <c r="AE33" i="6" l="1"/>
  <c r="AE30" i="6"/>
  <c r="AE26" i="6"/>
  <c r="AF26" i="25"/>
  <c r="AE36" i="6" l="1"/>
  <c r="AE52" i="6"/>
  <c r="AE49" i="6" l="1"/>
  <c r="AF12" i="25"/>
  <c r="AF13" i="25" s="1"/>
  <c r="AE37" i="6"/>
  <c r="AE39" i="6" l="1"/>
  <c r="AE42" i="6"/>
  <c r="AE35" i="6"/>
  <c r="AE48" i="6" l="1"/>
  <c r="AE56" i="6"/>
  <c r="AE45" i="6"/>
  <c r="AF24" i="6" s="1"/>
  <c r="AE44" i="6"/>
  <c r="AE57" i="6" l="1"/>
  <c r="AF27" i="6"/>
  <c r="AF28" i="6"/>
  <c r="AE58" i="6"/>
  <c r="AE50" i="6"/>
  <c r="AF16" i="25"/>
  <c r="AF18" i="25" s="1"/>
  <c r="AF21" i="25" s="1"/>
  <c r="AF30" i="6" l="1"/>
  <c r="AF33" i="6"/>
  <c r="AF37" i="25"/>
  <c r="AF38" i="25" s="1"/>
  <c r="AF50" i="25"/>
  <c r="AF52" i="25" s="1"/>
  <c r="AF43" i="25"/>
  <c r="AF45" i="25" s="1"/>
  <c r="AF27" i="25"/>
  <c r="AF28" i="25" s="1"/>
  <c r="AF29" i="25" s="1"/>
  <c r="AG25" i="25" s="1"/>
  <c r="AF57" i="25"/>
  <c r="AF59" i="25" s="1"/>
  <c r="AF26" i="6"/>
  <c r="AG26" i="25" l="1"/>
  <c r="AF36" i="6"/>
  <c r="AF37" i="6"/>
  <c r="AF52" i="6"/>
  <c r="E68" i="6" l="1"/>
  <c r="D9" i="16" s="1"/>
  <c r="D12" i="16" s="1"/>
  <c r="E69" i="6"/>
  <c r="C9" i="16" s="1"/>
  <c r="C12" i="16" s="1"/>
  <c r="AF39" i="6"/>
  <c r="AF42" i="6"/>
  <c r="AG12" i="25"/>
  <c r="AG13" i="25" s="1"/>
  <c r="AF49" i="6"/>
  <c r="AF35" i="6"/>
  <c r="AF56" i="6" l="1"/>
  <c r="AF48" i="6"/>
  <c r="B77" i="6"/>
  <c r="E66" i="6" s="1"/>
  <c r="G35" i="2" s="1"/>
  <c r="AF45" i="6"/>
  <c r="AF44" i="6"/>
  <c r="AF57" i="6" s="1"/>
  <c r="AF50" i="6" l="1"/>
  <c r="AG16" i="25"/>
  <c r="AG18" i="25" s="1"/>
  <c r="AG21" i="25" s="1"/>
  <c r="AF58" i="6"/>
  <c r="AG27" i="25" l="1"/>
  <c r="AG28" i="25" s="1"/>
  <c r="AG29" i="25" s="1"/>
  <c r="AG50" i="25"/>
  <c r="AG52" i="25" s="1"/>
  <c r="AG57" i="25"/>
  <c r="AG59" i="25" s="1"/>
  <c r="AG37" i="25"/>
  <c r="AG38" i="25" s="1"/>
  <c r="AG43" i="25"/>
  <c r="AG45" i="25" s="1"/>
  <c r="C47" i="25" l="1"/>
  <c r="C46" i="25"/>
  <c r="C60" i="25"/>
  <c r="C61" i="25"/>
  <c r="C53" i="25"/>
  <c r="C72" i="2" s="1"/>
  <c r="C54" i="25"/>
  <c r="D72" i="2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N19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Costs received from UAE Model (% LM's) then upgraded to 6 LM facility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N3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Warren Schick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A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MOB from Scot Chambers
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D8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Cost received from Santee Cooper Cost Model</t>
        </r>
      </text>
    </comment>
  </commentList>
</comments>
</file>

<file path=xl/sharedStrings.xml><?xml version="1.0" encoding="utf-8"?>
<sst xmlns="http://schemas.openxmlformats.org/spreadsheetml/2006/main" count="705" uniqueCount="566">
  <si>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</si>
  <si>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</si>
  <si>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</si>
  <si>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</si>
  <si>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</si>
  <si>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</si>
  <si>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</si>
  <si>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</si>
  <si>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</si>
  <si>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</si>
  <si>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</si>
  <si>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</si>
  <si>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</si>
  <si>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</si>
  <si>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</si>
  <si>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</si>
  <si>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</si>
  <si>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</si>
  <si>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</si>
  <si>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</si>
  <si>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</si>
  <si>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</si>
  <si>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</si>
  <si>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</si>
  <si>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</si>
  <si>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</si>
  <si>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</si>
  <si>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</si>
  <si>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</si>
  <si>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</si>
  <si>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</si>
  <si>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</si>
  <si>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</si>
  <si>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</si>
  <si>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</si>
  <si>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</si>
  <si>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</si>
  <si>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</si>
  <si>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</si>
  <si>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</si>
  <si>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</si>
  <si>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</si>
  <si>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</si>
  <si>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</si>
  <si>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</si>
  <si>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</si>
  <si>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</si>
  <si>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</si>
  <si>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</si>
  <si>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</si>
  <si>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</si>
  <si>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</si>
  <si>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</si>
  <si>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</si>
  <si>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</si>
  <si>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</si>
  <si>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</si>
  <si>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</si>
  <si>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</si>
  <si>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</si>
  <si>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</si>
  <si>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</si>
  <si>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</si>
  <si>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</si>
  <si>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</si>
  <si>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</si>
  <si>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</si>
  <si>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</si>
  <si>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</si>
  <si>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</si>
  <si>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</si>
  <si>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</si>
  <si>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</si>
  <si>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</si>
  <si>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</si>
  <si>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</si>
  <si>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</si>
  <si>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</si>
  <si>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</si>
  <si>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</si>
  <si>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</si>
  <si>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</si>
  <si>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</si>
  <si>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</si>
  <si>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</si>
  <si>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</si>
  <si>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</si>
  <si>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</si>
  <si>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</si>
  <si>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</si>
  <si>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</si>
  <si>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</si>
  <si>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</si>
  <si>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</si>
  <si>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</si>
  <si>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</si>
  <si>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</si>
  <si>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</si>
  <si>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</si>
  <si>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</si>
  <si>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</si>
  <si>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</si>
  <si>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</si>
  <si>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</si>
  <si>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</si>
  <si>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</si>
  <si>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</si>
  <si>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</si>
  <si>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</si>
  <si>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</si>
  <si>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</si>
  <si>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</si>
  <si>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</si>
  <si>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</si>
  <si>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</si>
  <si>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</si>
  <si>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</si>
  <si>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</si>
  <si>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</si>
  <si>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</si>
  <si>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</si>
  <si>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</si>
  <si>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</si>
  <si>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</si>
  <si>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</si>
  <si>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</si>
  <si>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</si>
  <si>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</si>
  <si>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</si>
  <si>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</si>
  <si>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</si>
  <si>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</si>
  <si>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</si>
  <si>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</si>
  <si>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</si>
  <si>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</si>
  <si>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</si>
  <si>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</si>
  <si>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</si>
  <si>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</si>
  <si>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</si>
  <si>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</si>
  <si>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</si>
  <si>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</si>
  <si>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</si>
  <si>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</si>
  <si>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</si>
  <si>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</si>
  <si>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</si>
  <si>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</si>
  <si>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</si>
  <si>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</si>
  <si>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</si>
  <si>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</si>
  <si>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</si>
  <si>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</si>
  <si>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</si>
  <si>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</si>
  <si>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</si>
  <si>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</si>
  <si>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</si>
  <si>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</si>
  <si>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</si>
  <si>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</si>
  <si>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</si>
  <si>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</si>
  <si>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</si>
  <si>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</si>
  <si>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 xml:space="preserve">  Owner's Engineer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</si>
  <si>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</si>
  <si>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</si>
  <si>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</si>
  <si>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</si>
  <si>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</si>
  <si>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</si>
  <si>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</si>
  <si>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</si>
  <si>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</si>
  <si>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</si>
  <si>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</si>
  <si>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</si>
  <si>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</si>
  <si>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</si>
  <si>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</si>
  <si>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</si>
  <si>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</si>
  <si>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</si>
  <si>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</si>
  <si>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</si>
  <si>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</si>
  <si>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</si>
  <si>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</si>
  <si>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</si>
  <si>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</si>
  <si>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</si>
  <si>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</si>
  <si>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</si>
  <si>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</si>
  <si>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</si>
  <si>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</si>
  <si>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</si>
  <si>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</si>
  <si>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</si>
  <si>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</si>
  <si>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</si>
  <si>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</si>
  <si>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</si>
  <si>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</si>
  <si>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</si>
  <si>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</si>
  <si>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</si>
  <si>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</si>
  <si>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</si>
  <si>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</si>
  <si>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</si>
  <si>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</si>
  <si>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</si>
  <si>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</si>
  <si>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</si>
  <si>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</si>
  <si>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</si>
  <si>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</si>
  <si>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</si>
  <si>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</si>
  <si>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</si>
  <si>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</si>
  <si>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</si>
  <si>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</si>
  <si>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</si>
  <si>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</si>
  <si>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</si>
  <si>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</si>
  <si>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</si>
  <si>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</si>
  <si>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</si>
  <si>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</si>
  <si>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</si>
  <si>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</si>
  <si>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</si>
  <si>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</si>
  <si>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</si>
  <si>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</si>
  <si>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</si>
  <si>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</si>
  <si>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</si>
  <si>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</si>
  <si>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</si>
  <si>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</si>
  <si>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</si>
  <si>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</si>
  <si>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</si>
  <si>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</si>
  <si>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</si>
  <si>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</si>
  <si>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</si>
  <si>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</si>
  <si>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</si>
  <si>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</si>
  <si>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</si>
  <si>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</si>
  <si>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</si>
  <si>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</si>
  <si>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</si>
  <si>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</si>
  <si>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</si>
  <si>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</si>
  <si>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</si>
  <si>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</si>
  <si>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</si>
  <si>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</si>
  <si>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</si>
  <si>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</si>
  <si>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</si>
  <si>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</si>
  <si>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</si>
  <si>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</si>
  <si>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</si>
  <si>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</si>
  <si>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</si>
  <si>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</si>
  <si>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</si>
  <si>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</si>
  <si>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</si>
  <si>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</si>
  <si>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</si>
  <si>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</si>
  <si>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</si>
  <si>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</si>
  <si>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</si>
  <si>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</si>
  <si>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</si>
  <si>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</si>
  <si>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</si>
  <si>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</si>
  <si>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</si>
  <si>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</si>
  <si>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</si>
  <si>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</si>
  <si>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</si>
  <si>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</si>
  <si>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</si>
  <si>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</si>
  <si>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</si>
  <si>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</si>
  <si>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</si>
  <si>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</si>
  <si>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</si>
  <si>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</si>
  <si>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</si>
  <si>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</si>
  <si>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</si>
  <si>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</si>
  <si>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</si>
  <si>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</si>
  <si>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</si>
  <si>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</si>
  <si>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</si>
  <si>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</si>
  <si>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</si>
  <si>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</si>
  <si>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</si>
  <si>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</si>
  <si>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</si>
  <si>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</si>
  <si>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</si>
  <si>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</si>
  <si>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</si>
  <si>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</si>
  <si>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</si>
  <si>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</si>
  <si>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</si>
  <si>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</si>
  <si>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</si>
  <si>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</si>
  <si>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</si>
  <si>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</si>
  <si>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</si>
  <si>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</si>
  <si>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</si>
  <si>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</si>
  <si>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</si>
  <si>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</si>
  <si>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</si>
  <si>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</si>
  <si>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</si>
  <si>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</si>
  <si>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</si>
  <si>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</si>
  <si>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</si>
  <si>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</si>
  <si>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</si>
  <si>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</si>
  <si>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</si>
  <si>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</si>
  <si>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</si>
  <si>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</si>
  <si>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</si>
  <si>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</si>
  <si>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</si>
  <si>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</si>
  <si>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</si>
  <si>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</si>
  <si>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</si>
  <si>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</si>
  <si>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</si>
  <si>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</si>
  <si>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</si>
  <si>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</si>
  <si>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</si>
  <si>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</si>
  <si>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</si>
  <si>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</si>
  <si>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</si>
  <si>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</si>
  <si>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</si>
  <si>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</si>
  <si>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</si>
  <si>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</si>
  <si>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</si>
  <si>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</si>
  <si>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</si>
  <si>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</si>
  <si>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</si>
  <si>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</si>
  <si>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</si>
  <si>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</si>
  <si>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</si>
  <si>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</si>
  <si>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</si>
  <si>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</si>
  <si>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</si>
  <si>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</si>
  <si>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</si>
  <si>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</si>
  <si>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</si>
  <si>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</si>
  <si>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</si>
  <si>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</si>
  <si>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</si>
  <si>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</si>
  <si>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</si>
  <si>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</si>
  <si>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</si>
  <si>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</si>
  <si>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</si>
  <si>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</si>
  <si>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</si>
  <si>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</si>
  <si>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</si>
  <si>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</si>
  <si>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</si>
  <si>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</si>
  <si>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</si>
  <si>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</si>
  <si>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</si>
  <si>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</si>
  <si>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</si>
  <si>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</si>
  <si>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</si>
  <si>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</si>
  <si>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$/Mmbtu</t>
  </si>
  <si>
    <t>Oil</t>
  </si>
  <si>
    <t>Index (Fuel Oil # 2 Curve)</t>
  </si>
  <si>
    <t>Avg. Annual</t>
  </si>
  <si>
    <t>FL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</si>
  <si>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</si>
  <si>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</si>
  <si>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</si>
  <si>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</si>
  <si>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</si>
  <si>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</si>
  <si>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</si>
  <si>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GC Other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</si>
  <si>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</si>
  <si>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</si>
  <si>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</si>
  <si>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</si>
  <si>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</si>
  <si>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</si>
  <si>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</si>
  <si>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Inlet air heating</t>
  </si>
  <si>
    <t xml:space="preserve">  Duel Fuel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</si>
  <si>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</si>
  <si>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</si>
  <si>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</si>
  <si>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</si>
  <si>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</si>
  <si>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</si>
  <si>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</si>
  <si>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</si>
  <si>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</si>
  <si>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</si>
  <si>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</si>
  <si>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</si>
  <si>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</si>
  <si>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</si>
  <si>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</si>
  <si>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</si>
  <si>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</si>
  <si>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</si>
  <si>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</si>
  <si>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</si>
  <si>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</si>
  <si>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</si>
  <si>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</si>
  <si>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</si>
  <si>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</si>
  <si>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</si>
  <si>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</si>
  <si>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</si>
  <si>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</si>
  <si>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</si>
  <si>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</si>
  <si>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</si>
  <si>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</si>
  <si>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</si>
  <si>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</si>
  <si>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</si>
  <si>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</si>
  <si>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</si>
  <si>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</si>
  <si>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</si>
  <si>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</si>
  <si>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</si>
  <si>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</si>
  <si>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</si>
  <si>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</si>
  <si>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</si>
  <si>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</si>
  <si>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</si>
  <si>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</si>
  <si>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</si>
  <si>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</si>
  <si>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</si>
  <si>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</si>
  <si>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</si>
  <si>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</si>
  <si>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</si>
  <si>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</si>
  <si>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</si>
  <si>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</si>
  <si>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</si>
  <si>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</si>
  <si>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</si>
  <si>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</si>
  <si>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</si>
  <si>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</si>
  <si>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</si>
  <si>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</si>
  <si>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</si>
  <si>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</si>
  <si>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</si>
  <si>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</si>
  <si>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</si>
  <si>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</si>
  <si>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</si>
  <si>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</si>
  <si>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Owner's Adder (With Switchyard, T-lines, Gas Lines)</t>
  </si>
  <si>
    <t xml:space="preserve">  Nepco Margin</t>
  </si>
  <si>
    <t>Chemicals</t>
  </si>
  <si>
    <t>Payroll &amp; Burden</t>
  </si>
  <si>
    <t>Admin and Operations Expenses</t>
  </si>
  <si>
    <t>Maintenance Expenses</t>
  </si>
  <si>
    <t>B.I. Insurance</t>
  </si>
  <si>
    <t>Return</t>
  </si>
  <si>
    <t>Capacity Price</t>
  </si>
  <si>
    <t>Notes:</t>
  </si>
  <si>
    <t>30 Year SL with 10% Residuel</t>
  </si>
  <si>
    <t>Debt Term (yrs)</t>
  </si>
  <si>
    <t>Rate (%)</t>
  </si>
  <si>
    <t>Princ Amort Sched (yrs)</t>
  </si>
  <si>
    <t>Equity (%)</t>
  </si>
  <si>
    <t>Equity ($)</t>
  </si>
  <si>
    <t>Capacity (MW)</t>
  </si>
  <si>
    <t>Capacity Pmt ($/kw-mo)</t>
  </si>
  <si>
    <t>Total Debt</t>
  </si>
  <si>
    <t>Debt (%)</t>
  </si>
  <si>
    <t>Total Project Cost</t>
  </si>
  <si>
    <t>Principal Balance</t>
  </si>
  <si>
    <t>Payment</t>
  </si>
  <si>
    <t>Interest Payment</t>
  </si>
  <si>
    <t>Principal Payment</t>
  </si>
  <si>
    <t>NPV</t>
  </si>
  <si>
    <t>NPV (000's)</t>
  </si>
  <si>
    <t>Plant starting June 2001 (SC)</t>
  </si>
  <si>
    <t>12% Return Target</t>
  </si>
  <si>
    <t>Debt/Equity: 70%/30%</t>
  </si>
  <si>
    <t>Total Project Installed cost: (kW)</t>
  </si>
  <si>
    <t>12% Return Target (NPV Breakeven)</t>
  </si>
  <si>
    <t>Florida Project Return Analysis</t>
  </si>
  <si>
    <t>Total Project Cost (000's):</t>
  </si>
  <si>
    <t>Pricing Starts Summer 2001 with 5-year term</t>
  </si>
  <si>
    <t>Desk's Current Capacity Price (Bid)</t>
  </si>
  <si>
    <t>8% Interest Rate with 20 Yr. Debt &amp; Amort.</t>
  </si>
  <si>
    <t>Simple Cycle Scenario</t>
  </si>
  <si>
    <t xml:space="preserve">  Indirect Labor</t>
  </si>
  <si>
    <t xml:space="preserve">  Startup/Mobilization</t>
  </si>
  <si>
    <t xml:space="preserve">  SCR's</t>
  </si>
  <si>
    <t xml:space="preserve">  Chillers (In Engineered Equipment)</t>
  </si>
  <si>
    <t>Simple Cycle Configuration</t>
  </si>
  <si>
    <t>Basis Per Turbine with Enhanced Sprint Option</t>
  </si>
  <si>
    <t xml:space="preserve">  per diems</t>
  </si>
  <si>
    <t xml:space="preserve">  Tax/bond</t>
  </si>
  <si>
    <t xml:space="preserve">  Turbine (with Carrying Cost and Sprint)</t>
  </si>
  <si>
    <t xml:space="preserve">  Warranty</t>
  </si>
  <si>
    <t>PROJECT NAME: New Orleans, 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</si>
</sst>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5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color indexed="12"/>
      <name val="Times New Roman"/>
      <family val="1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0" applyFont="1" applyBorder="1" applyAlignment="1">
      <alignment horizontal="center"/>
    </xf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322" fontId="0" fillId="0" borderId="0" xfId="0" applyNumberFormat="1"/>
    <xf numFmtId="0" fontId="102" fillId="0" borderId="0" xfId="0" applyFont="1"/>
    <xf numFmtId="44" fontId="0" fillId="0" borderId="0" xfId="4" applyFont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22" fillId="8" borderId="0" xfId="4" applyNumberFormat="1" applyFont="1" applyFill="1" applyBorder="1" applyAlignment="1"/>
    <xf numFmtId="44" fontId="3" fillId="0" borderId="0" xfId="4" applyFont="1"/>
    <xf numFmtId="9" fontId="3" fillId="0" borderId="0" xfId="20" applyFont="1"/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2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/>
    <xf numFmtId="10" fontId="3" fillId="0" borderId="0" xfId="20" applyNumberFormat="1" applyFont="1"/>
    <xf numFmtId="40" fontId="3" fillId="0" borderId="0" xfId="0" applyNumberFormat="1" applyFont="1"/>
    <xf numFmtId="164" fontId="2" fillId="0" borderId="0" xfId="20" applyNumberFormat="1" applyFont="1" applyFill="1" applyBorder="1" applyAlignment="1"/>
    <xf numFmtId="8" fontId="3" fillId="10" borderId="3" xfId="0" applyNumberFormat="1" applyFont="1" applyFill="1" applyBorder="1"/>
    <xf numFmtId="6" fontId="2" fillId="10" borderId="3" xfId="0" applyNumberFormat="1" applyFont="1" applyFill="1" applyBorder="1"/>
    <xf numFmtId="6" fontId="3" fillId="0" borderId="0" xfId="20" applyNumberFormat="1" applyFont="1"/>
    <xf numFmtId="10" fontId="2" fillId="10" borderId="3" xfId="20" applyNumberFormat="1" applyFont="1" applyFill="1" applyBorder="1" applyAlignment="1">
      <alignment horizontal="center"/>
    </xf>
    <xf numFmtId="166" fontId="110" fillId="8" borderId="0" xfId="3" applyNumberFormat="1" applyFont="1" applyFill="1" applyBorder="1"/>
    <xf numFmtId="205" fontId="22" fillId="8" borderId="0" xfId="0" applyNumberFormat="1" applyFont="1" applyFill="1" applyBorder="1"/>
    <xf numFmtId="9" fontId="109" fillId="0" borderId="0" xfId="20" applyFont="1" applyFill="1" applyBorder="1" applyAlignment="1">
      <alignment horizontal="center"/>
    </xf>
    <xf numFmtId="44" fontId="24" fillId="0" borderId="0" xfId="4" applyFont="1"/>
    <xf numFmtId="187" fontId="3" fillId="0" borderId="0" xfId="0" applyNumberFormat="1" applyFont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right"/>
    </xf>
    <xf numFmtId="165" fontId="3" fillId="0" borderId="9" xfId="4" applyNumberFormat="1" applyFont="1" applyBorder="1" applyAlignment="1">
      <alignment horizontal="center"/>
    </xf>
    <xf numFmtId="165" fontId="3" fillId="0" borderId="9" xfId="4" applyNumberFormat="1" applyFont="1" applyBorder="1"/>
    <xf numFmtId="38" fontId="3" fillId="0" borderId="9" xfId="0" applyNumberFormat="1" applyFont="1" applyBorder="1"/>
    <xf numFmtId="9" fontId="3" fillId="0" borderId="9" xfId="0" applyNumberFormat="1" applyFont="1" applyBorder="1"/>
    <xf numFmtId="9" fontId="3" fillId="0" borderId="9" xfId="20" applyFont="1" applyBorder="1"/>
    <xf numFmtId="0" fontId="3" fillId="0" borderId="15" xfId="0" applyFont="1" applyBorder="1" applyAlignment="1">
      <alignment horizontal="right"/>
    </xf>
    <xf numFmtId="40" fontId="3" fillId="0" borderId="13" xfId="0" applyNumberFormat="1" applyFont="1" applyBorder="1"/>
    <xf numFmtId="2" fontId="24" fillId="0" borderId="0" xfId="0" applyNumberFormat="1" applyFont="1"/>
    <xf numFmtId="164" fontId="3" fillId="0" borderId="0" xfId="20" applyNumberFormat="1" applyFont="1"/>
    <xf numFmtId="0" fontId="9" fillId="0" borderId="9" xfId="0" applyFont="1" applyFill="1" applyBorder="1" applyAlignment="1">
      <alignment horizontal="right"/>
    </xf>
    <xf numFmtId="38" fontId="22" fillId="0" borderId="9" xfId="0" applyNumberFormat="1" applyFont="1" applyFill="1" applyBorder="1"/>
    <xf numFmtId="0" fontId="9" fillId="0" borderId="0" xfId="0" applyFont="1" applyFill="1" applyBorder="1" applyAlignment="1">
      <alignment horizontal="right"/>
    </xf>
    <xf numFmtId="166" fontId="9" fillId="0" borderId="0" xfId="3" applyNumberFormat="1" applyFont="1" applyFill="1" applyBorder="1"/>
    <xf numFmtId="313" fontId="22" fillId="0" borderId="9" xfId="0" applyNumberFormat="1" applyFont="1" applyFill="1" applyBorder="1" applyAlignment="1" applyProtection="1">
      <alignment horizontal="right"/>
    </xf>
    <xf numFmtId="38" fontId="31" fillId="0" borderId="0" xfId="0" applyNumberFormat="1" applyFont="1" applyFill="1" applyBorder="1" applyAlignment="1">
      <alignment horizontal="center"/>
    </xf>
    <xf numFmtId="193" fontId="22" fillId="8" borderId="0" xfId="3" applyNumberFormat="1" applyFont="1" applyFill="1" applyBorder="1"/>
    <xf numFmtId="193" fontId="30" fillId="8" borderId="0" xfId="3" applyNumberFormat="1" applyFont="1" applyFill="1" applyBorder="1"/>
    <xf numFmtId="193" fontId="22" fillId="0" borderId="0" xfId="3" applyNumberFormat="1" applyFont="1" applyFill="1" applyBorder="1"/>
    <xf numFmtId="0" fontId="114" fillId="0" borderId="0" xfId="0" applyFont="1"/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6" fontId="22" fillId="0" borderId="9" xfId="0" applyNumberFormat="1" applyFont="1" applyBorder="1" applyAlignment="1">
      <alignment horizontal="center"/>
    </xf>
    <xf numFmtId="37" fontId="3" fillId="0" borderId="9" xfId="0" applyNumberFormat="1" applyFont="1" applyBorder="1"/>
    <xf numFmtId="10" fontId="3" fillId="0" borderId="9" xfId="20" applyNumberFormat="1" applyFont="1" applyBorder="1"/>
    <xf numFmtId="10" fontId="22" fillId="11" borderId="16" xfId="0" applyNumberFormat="1" applyFont="1" applyFill="1" applyBorder="1" applyAlignment="1">
      <alignment horizontal="center"/>
    </xf>
    <xf numFmtId="8" fontId="3" fillId="0" borderId="0" xfId="0" applyNumberFormat="1" applyFont="1"/>
    <xf numFmtId="166" fontId="113" fillId="0" borderId="9" xfId="3" applyNumberFormat="1" applyFont="1" applyBorder="1"/>
    <xf numFmtId="166" fontId="113" fillId="0" borderId="13" xfId="3" applyNumberFormat="1" applyFont="1" applyBorder="1"/>
    <xf numFmtId="0" fontId="7" fillId="8" borderId="23" xfId="0" applyFont="1" applyFill="1" applyBorder="1"/>
    <xf numFmtId="0" fontId="7" fillId="8" borderId="24" xfId="0" applyFont="1" applyFill="1" applyBorder="1"/>
    <xf numFmtId="6" fontId="22" fillId="11" borderId="31" xfId="20" applyNumberFormat="1" applyFont="1" applyFill="1" applyBorder="1" applyAlignment="1">
      <alignment horizontal="center"/>
    </xf>
    <xf numFmtId="2" fontId="3" fillId="0" borderId="0" xfId="0" applyNumberFormat="1" applyFon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159</v>
      </c>
      <c r="C2" s="5"/>
    </row>
    <row r="3" spans="1:18" s="46" customFormat="1" ht="15.75"/>
    <row r="4" spans="1:18" s="46" customFormat="1" ht="18.75">
      <c r="A4" s="458">
        <v>1</v>
      </c>
      <c r="B4" s="204" t="s">
        <v>384</v>
      </c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8"/>
    </row>
    <row r="5" spans="1:18" s="46" customFormat="1" ht="18.75">
      <c r="B5" s="204" t="s">
        <v>385</v>
      </c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  <c r="P5" s="458"/>
      <c r="Q5" s="458"/>
    </row>
    <row r="6" spans="1:18" s="46" customFormat="1" ht="15.75">
      <c r="A6" s="12">
        <v>2</v>
      </c>
      <c r="B6" s="53" t="s">
        <v>296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297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304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396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192</v>
      </c>
    </row>
    <row r="13" spans="1:18" s="46" customFormat="1" ht="15.75">
      <c r="A13" s="459"/>
      <c r="B13" s="12"/>
      <c r="C13" s="12"/>
      <c r="D13" s="12"/>
      <c r="E13" s="12"/>
      <c r="F13" s="12"/>
      <c r="G13" s="12"/>
      <c r="H13" s="12"/>
      <c r="I13" s="460" t="s">
        <v>193</v>
      </c>
      <c r="J13" s="12"/>
      <c r="K13" s="12"/>
      <c r="L13" s="12"/>
      <c r="M13" s="12"/>
      <c r="N13" s="12"/>
      <c r="O13" s="460"/>
      <c r="P13" s="12"/>
    </row>
    <row r="14" spans="1:18" s="46" customFormat="1" ht="15.75">
      <c r="A14" s="12">
        <v>1</v>
      </c>
      <c r="B14" s="12" t="s">
        <v>357</v>
      </c>
      <c r="C14" s="12"/>
      <c r="D14" s="12"/>
      <c r="E14" s="12"/>
      <c r="F14" s="12"/>
      <c r="G14" s="12"/>
      <c r="H14" s="12"/>
      <c r="I14" s="12" t="s">
        <v>194</v>
      </c>
      <c r="J14" s="12"/>
      <c r="K14" s="12"/>
      <c r="L14" s="12"/>
      <c r="M14" s="12"/>
      <c r="N14" s="12"/>
      <c r="O14" s="461"/>
      <c r="P14" s="12"/>
    </row>
    <row r="15" spans="1:18" s="46" customFormat="1" ht="15.75">
      <c r="A15" s="12"/>
      <c r="B15" s="12" t="s">
        <v>258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1"/>
      <c r="P15" s="12"/>
    </row>
    <row r="16" spans="1:18" s="46" customFormat="1" ht="15.75">
      <c r="A16" s="12">
        <v>2</v>
      </c>
      <c r="B16" s="12" t="s">
        <v>219</v>
      </c>
      <c r="C16" s="12"/>
      <c r="D16" s="12"/>
      <c r="E16" s="12"/>
      <c r="F16" s="12"/>
      <c r="G16" s="12"/>
      <c r="H16" s="12"/>
      <c r="I16" s="12" t="s">
        <v>194</v>
      </c>
      <c r="J16" s="12"/>
      <c r="K16" s="12"/>
      <c r="L16" s="12"/>
      <c r="M16" s="12"/>
      <c r="N16" s="12"/>
      <c r="O16" s="46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352</v>
      </c>
      <c r="J17" s="12"/>
      <c r="K17" s="12"/>
      <c r="L17" s="12"/>
      <c r="M17" s="12"/>
      <c r="N17" s="12"/>
      <c r="O17" s="461"/>
      <c r="P17" s="12"/>
    </row>
    <row r="18" spans="1:16" s="46" customFormat="1" ht="15.75">
      <c r="A18" s="12">
        <v>4</v>
      </c>
      <c r="B18" s="12" t="s">
        <v>244</v>
      </c>
      <c r="C18" s="12"/>
      <c r="D18" s="12"/>
      <c r="E18" s="12"/>
      <c r="F18" s="12"/>
      <c r="G18" s="12"/>
      <c r="H18" s="12"/>
      <c r="I18" s="12" t="s">
        <v>403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298</v>
      </c>
      <c r="C19" s="12"/>
      <c r="D19" s="12"/>
      <c r="E19" s="12"/>
      <c r="F19" s="12"/>
      <c r="G19" s="12"/>
      <c r="H19" s="12"/>
      <c r="I19" s="12" t="s">
        <v>268</v>
      </c>
      <c r="J19" s="12"/>
      <c r="K19" s="12"/>
      <c r="L19" s="12"/>
      <c r="M19" s="12"/>
      <c r="N19" s="12"/>
      <c r="O19" s="461"/>
      <c r="P19" s="12"/>
    </row>
    <row r="20" spans="1:16" s="46" customFormat="1" ht="15.75">
      <c r="A20" s="12">
        <v>6</v>
      </c>
      <c r="B20" s="12" t="s">
        <v>318</v>
      </c>
      <c r="C20" s="12"/>
      <c r="D20" s="12"/>
      <c r="E20" s="12"/>
      <c r="F20" s="12"/>
      <c r="G20" s="12"/>
      <c r="H20" s="12"/>
      <c r="I20" s="12" t="s">
        <v>319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350</v>
      </c>
      <c r="C21" s="12"/>
      <c r="D21" s="12"/>
      <c r="E21" s="12"/>
      <c r="F21" s="12"/>
      <c r="G21" s="12"/>
      <c r="H21" s="12"/>
      <c r="I21" s="12" t="s">
        <v>268</v>
      </c>
      <c r="J21" s="12"/>
      <c r="K21" s="12"/>
      <c r="L21" s="12"/>
      <c r="M21" s="12"/>
      <c r="N21" s="12"/>
      <c r="O21" s="461"/>
      <c r="P21" s="12"/>
    </row>
    <row r="22" spans="1:16" s="46" customFormat="1" ht="15.75">
      <c r="A22" s="12">
        <v>8</v>
      </c>
      <c r="B22" s="12" t="s">
        <v>353</v>
      </c>
      <c r="C22" s="12"/>
      <c r="D22" s="12"/>
      <c r="E22" s="12"/>
      <c r="F22" s="12"/>
      <c r="G22" s="12"/>
      <c r="H22" s="12"/>
      <c r="I22" s="12" t="s">
        <v>354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393</v>
      </c>
      <c r="C23" s="12"/>
      <c r="D23" s="12"/>
      <c r="E23" s="12"/>
      <c r="F23" s="12"/>
      <c r="G23" s="12"/>
      <c r="H23" s="12"/>
      <c r="I23" s="12" t="s">
        <v>268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261</v>
      </c>
    </row>
    <row r="28" spans="1:16" s="46" customFormat="1" ht="18.75">
      <c r="A28" s="274"/>
    </row>
    <row r="29" spans="1:16" s="46" customFormat="1" ht="15.75">
      <c r="A29" s="12"/>
      <c r="B29" s="462" t="s">
        <v>286</v>
      </c>
      <c r="C29" s="12"/>
      <c r="D29" s="12"/>
      <c r="E29" s="462" t="s">
        <v>285</v>
      </c>
      <c r="F29" s="462"/>
      <c r="G29" s="462"/>
      <c r="H29" s="462" t="s">
        <v>287</v>
      </c>
      <c r="I29" s="12"/>
      <c r="J29" s="12"/>
    </row>
    <row r="30" spans="1:16" s="46" customFormat="1" ht="15.75">
      <c r="A30" s="12"/>
      <c r="B30" s="12" t="s">
        <v>359</v>
      </c>
      <c r="C30" s="12"/>
      <c r="D30" s="12"/>
      <c r="E30" s="12" t="s">
        <v>270</v>
      </c>
      <c r="F30" s="12"/>
      <c r="G30" s="12"/>
      <c r="H30" s="12" t="s">
        <v>282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271</v>
      </c>
      <c r="F31" s="12"/>
      <c r="G31" s="12"/>
      <c r="H31" s="12" t="s">
        <v>283</v>
      </c>
      <c r="I31" s="12"/>
      <c r="J31" s="12"/>
    </row>
    <row r="32" spans="1:16" s="46" customFormat="1" ht="15.75">
      <c r="A32" s="12"/>
      <c r="B32" s="12" t="s">
        <v>360</v>
      </c>
      <c r="C32" s="12"/>
      <c r="D32" s="12"/>
      <c r="E32" s="12" t="s">
        <v>272</v>
      </c>
      <c r="F32" s="12"/>
      <c r="G32" s="12"/>
      <c r="H32" s="12" t="s">
        <v>284</v>
      </c>
      <c r="I32" s="12"/>
      <c r="J32" s="12"/>
    </row>
    <row r="33" spans="1:10" s="46" customFormat="1" ht="15.75">
      <c r="A33" s="12"/>
      <c r="B33" s="12" t="s">
        <v>266</v>
      </c>
      <c r="C33" s="12"/>
      <c r="D33" s="12"/>
      <c r="E33" s="12" t="s">
        <v>267</v>
      </c>
      <c r="F33" s="12"/>
      <c r="G33" s="12"/>
      <c r="H33" s="12" t="s">
        <v>279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268</v>
      </c>
      <c r="F34" s="12"/>
      <c r="G34" s="12"/>
      <c r="H34" s="12" t="s">
        <v>280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269</v>
      </c>
      <c r="F35" s="12"/>
      <c r="G35" s="12"/>
      <c r="H35" s="12" t="s">
        <v>281</v>
      </c>
      <c r="I35" s="12"/>
      <c r="J35" s="12"/>
    </row>
    <row r="36" spans="1:10" s="46" customFormat="1" ht="15.75">
      <c r="A36" s="12"/>
      <c r="B36" s="12" t="s">
        <v>264</v>
      </c>
      <c r="C36" s="12"/>
      <c r="D36" s="12"/>
      <c r="E36" s="12" t="s">
        <v>265</v>
      </c>
      <c r="F36" s="12"/>
      <c r="G36" s="12"/>
      <c r="H36" s="12" t="s">
        <v>278</v>
      </c>
      <c r="I36" s="12"/>
      <c r="J36" s="12"/>
    </row>
    <row r="37" spans="1:10" s="46" customFormat="1" ht="15.75">
      <c r="A37" s="12"/>
      <c r="B37" s="12" t="s">
        <v>318</v>
      </c>
      <c r="C37" s="12"/>
      <c r="D37" s="12"/>
      <c r="E37" s="12" t="s">
        <v>319</v>
      </c>
      <c r="F37" s="12"/>
      <c r="G37" s="12"/>
      <c r="H37" s="12" t="s">
        <v>316</v>
      </c>
      <c r="I37" s="12"/>
      <c r="J37" s="12"/>
    </row>
    <row r="38" spans="1:10" s="46" customFormat="1" ht="15.75">
      <c r="A38" s="12"/>
      <c r="B38" s="12" t="s">
        <v>262</v>
      </c>
      <c r="C38" s="12"/>
      <c r="D38" s="12"/>
      <c r="E38" s="12" t="s">
        <v>263</v>
      </c>
      <c r="F38" s="12"/>
      <c r="G38" s="12"/>
      <c r="H38" s="12" t="s">
        <v>317</v>
      </c>
      <c r="I38" s="12"/>
      <c r="J38" s="12"/>
    </row>
    <row r="39" spans="1:10" s="46" customFormat="1" ht="15.75">
      <c r="A39" s="12"/>
      <c r="B39" s="12" t="s">
        <v>398</v>
      </c>
      <c r="C39" s="12"/>
      <c r="D39" s="12"/>
      <c r="E39" s="12" t="s">
        <v>382</v>
      </c>
      <c r="F39" s="12"/>
      <c r="G39" s="12"/>
      <c r="H39" s="12" t="s">
        <v>383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406</v>
      </c>
      <c r="F40" s="12"/>
      <c r="G40" s="12"/>
      <c r="H40" s="12" t="s">
        <v>407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194</v>
      </c>
      <c r="F41" s="12"/>
      <c r="G41" s="12"/>
      <c r="H41" s="12" t="s">
        <v>277</v>
      </c>
      <c r="I41" s="12"/>
      <c r="J41" s="12"/>
    </row>
    <row r="42" spans="1:10" s="46" customFormat="1" ht="15.75">
      <c r="A42" s="12"/>
      <c r="B42" s="12" t="s">
        <v>355</v>
      </c>
      <c r="C42" s="12"/>
      <c r="D42" s="12"/>
      <c r="E42" s="12" t="s">
        <v>380</v>
      </c>
      <c r="F42" s="12"/>
      <c r="G42" s="12"/>
      <c r="H42" s="12" t="s">
        <v>381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354</v>
      </c>
      <c r="F43" s="12"/>
      <c r="G43" s="12"/>
      <c r="H43" s="12" t="s">
        <v>356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New Orleans, Louisiana</v>
      </c>
    </row>
    <row r="4" spans="1:60" ht="18.75">
      <c r="A4" s="60" t="s">
        <v>131</v>
      </c>
      <c r="B4" s="8"/>
      <c r="C4" s="8"/>
    </row>
    <row r="6" spans="1:60">
      <c r="C6" s="304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05" t="s">
        <v>239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6"/>
      <c r="D8" s="208">
        <f>Assumptions!H17+365.25*Assumptions!H18/12</f>
        <v>37255.5</v>
      </c>
      <c r="E8" s="208">
        <f t="shared" ref="E8:AH8" si="0">D8+365.25</f>
        <v>37620.75</v>
      </c>
      <c r="F8" s="208">
        <f t="shared" si="0"/>
        <v>37986</v>
      </c>
      <c r="G8" s="208">
        <f t="shared" si="0"/>
        <v>38351.25</v>
      </c>
      <c r="H8" s="208">
        <f t="shared" si="0"/>
        <v>38716.5</v>
      </c>
      <c r="I8" s="208">
        <f t="shared" si="0"/>
        <v>39081.75</v>
      </c>
      <c r="J8" s="208">
        <f t="shared" si="0"/>
        <v>39447</v>
      </c>
      <c r="K8" s="208">
        <f t="shared" si="0"/>
        <v>39812.25</v>
      </c>
      <c r="L8" s="208">
        <f t="shared" si="0"/>
        <v>40177.5</v>
      </c>
      <c r="M8" s="208">
        <f t="shared" si="0"/>
        <v>40542.75</v>
      </c>
      <c r="N8" s="208">
        <f t="shared" si="0"/>
        <v>40908</v>
      </c>
      <c r="O8" s="208">
        <f t="shared" si="0"/>
        <v>41273.25</v>
      </c>
      <c r="P8" s="208">
        <f t="shared" si="0"/>
        <v>41638.5</v>
      </c>
      <c r="Q8" s="208">
        <f t="shared" si="0"/>
        <v>42003.75</v>
      </c>
      <c r="R8" s="208">
        <f t="shared" si="0"/>
        <v>42369</v>
      </c>
      <c r="S8" s="208">
        <f t="shared" si="0"/>
        <v>42734.25</v>
      </c>
      <c r="T8" s="208">
        <f t="shared" si="0"/>
        <v>43099.5</v>
      </c>
      <c r="U8" s="208">
        <f t="shared" si="0"/>
        <v>43464.75</v>
      </c>
      <c r="V8" s="208">
        <f t="shared" si="0"/>
        <v>43830</v>
      </c>
      <c r="W8" s="208">
        <f t="shared" si="0"/>
        <v>44195.25</v>
      </c>
      <c r="X8" s="208">
        <f t="shared" si="0"/>
        <v>44560.5</v>
      </c>
      <c r="Y8" s="208">
        <f t="shared" si="0"/>
        <v>44925.75</v>
      </c>
      <c r="Z8" s="208">
        <f t="shared" si="0"/>
        <v>45291</v>
      </c>
      <c r="AA8" s="208">
        <f t="shared" si="0"/>
        <v>45656.25</v>
      </c>
      <c r="AB8" s="208">
        <f t="shared" si="0"/>
        <v>46021.5</v>
      </c>
      <c r="AC8" s="208">
        <f t="shared" si="0"/>
        <v>46386.75</v>
      </c>
      <c r="AD8" s="208">
        <f t="shared" si="0"/>
        <v>46752</v>
      </c>
      <c r="AE8" s="208">
        <f t="shared" si="0"/>
        <v>47117.25</v>
      </c>
      <c r="AF8" s="208">
        <f t="shared" si="0"/>
        <v>47482.5</v>
      </c>
      <c r="AG8" s="208">
        <f t="shared" si="0"/>
        <v>47847.75</v>
      </c>
      <c r="AH8" s="208">
        <f t="shared" si="0"/>
        <v>48213</v>
      </c>
    </row>
    <row r="9" spans="1:60">
      <c r="A9" s="1" t="s">
        <v>132</v>
      </c>
      <c r="B9" s="12"/>
      <c r="C9" s="30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133</v>
      </c>
      <c r="B11" s="12"/>
      <c r="C11" s="30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7"/>
      <c r="AJ11" s="297"/>
      <c r="AK11" s="297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7"/>
      <c r="AX11" s="297"/>
      <c r="AY11" s="297"/>
      <c r="AZ11" s="297"/>
      <c r="BA11" s="297"/>
      <c r="BB11" s="297"/>
      <c r="BC11" s="297"/>
      <c r="BD11" s="297"/>
      <c r="BE11" s="297"/>
      <c r="BF11" s="297"/>
      <c r="BG11" s="297"/>
      <c r="BH11" s="297"/>
    </row>
    <row r="12" spans="1:60">
      <c r="A12" s="23" t="s">
        <v>134</v>
      </c>
      <c r="B12" s="12"/>
      <c r="C12" s="30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</row>
    <row r="13" spans="1:60">
      <c r="A13" s="23" t="s">
        <v>135</v>
      </c>
      <c r="B13" s="12"/>
      <c r="C13" s="30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7"/>
      <c r="AJ13" s="297"/>
      <c r="AK13" s="297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7"/>
      <c r="AX13" s="297"/>
      <c r="AY13" s="297"/>
      <c r="AZ13" s="297"/>
      <c r="BA13" s="297"/>
      <c r="BB13" s="297"/>
      <c r="BC13" s="297"/>
      <c r="BD13" s="297"/>
      <c r="BE13" s="297"/>
      <c r="BF13" s="297"/>
      <c r="BG13" s="297"/>
      <c r="BH13" s="297"/>
    </row>
    <row r="14" spans="1:60">
      <c r="A14" s="23" t="s">
        <v>136</v>
      </c>
      <c r="B14" s="12"/>
      <c r="C14" s="30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7"/>
      <c r="AJ14" s="297"/>
      <c r="AK14" s="297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7"/>
      <c r="BD14" s="297"/>
      <c r="BE14" s="297"/>
      <c r="BF14" s="297"/>
      <c r="BG14" s="297"/>
      <c r="BH14" s="297"/>
    </row>
    <row r="15" spans="1:60">
      <c r="A15" s="296" t="s">
        <v>137</v>
      </c>
      <c r="B15" s="58"/>
      <c r="C15" s="309">
        <v>0</v>
      </c>
      <c r="D15" s="296">
        <v>0</v>
      </c>
      <c r="E15" s="296">
        <v>0</v>
      </c>
      <c r="F15" s="296">
        <v>0</v>
      </c>
      <c r="G15" s="296">
        <v>0</v>
      </c>
      <c r="H15" s="296">
        <v>0</v>
      </c>
      <c r="I15" s="296">
        <v>0</v>
      </c>
      <c r="J15" s="296">
        <v>0</v>
      </c>
      <c r="K15" s="296">
        <v>0</v>
      </c>
      <c r="L15" s="296">
        <v>0</v>
      </c>
      <c r="M15" s="296">
        <v>0</v>
      </c>
      <c r="N15" s="296">
        <v>0</v>
      </c>
      <c r="O15" s="296">
        <v>0</v>
      </c>
      <c r="P15" s="296">
        <v>0</v>
      </c>
      <c r="Q15" s="296">
        <v>0</v>
      </c>
      <c r="R15" s="296">
        <v>0</v>
      </c>
      <c r="S15" s="296">
        <v>0</v>
      </c>
      <c r="T15" s="296">
        <v>0</v>
      </c>
      <c r="U15" s="296">
        <v>0</v>
      </c>
      <c r="V15" s="296">
        <v>0</v>
      </c>
      <c r="W15" s="296">
        <v>0</v>
      </c>
      <c r="X15" s="296">
        <v>0</v>
      </c>
      <c r="Y15" s="296">
        <v>0</v>
      </c>
      <c r="Z15" s="296">
        <v>0</v>
      </c>
      <c r="AA15" s="296">
        <v>0</v>
      </c>
      <c r="AB15" s="296">
        <v>0</v>
      </c>
      <c r="AC15" s="296">
        <v>0</v>
      </c>
      <c r="AD15" s="296">
        <v>0</v>
      </c>
      <c r="AE15" s="296">
        <v>0</v>
      </c>
      <c r="AF15" s="296">
        <v>0</v>
      </c>
      <c r="AG15" s="296">
        <v>0</v>
      </c>
      <c r="AH15" s="296">
        <v>0</v>
      </c>
      <c r="AI15" s="297"/>
      <c r="AJ15" s="297"/>
      <c r="AK15" s="297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7"/>
      <c r="AX15" s="297"/>
      <c r="AY15" s="297"/>
      <c r="AZ15" s="297"/>
      <c r="BA15" s="297"/>
      <c r="BB15" s="297"/>
      <c r="BC15" s="297"/>
      <c r="BD15" s="297"/>
      <c r="BE15" s="297"/>
      <c r="BF15" s="297"/>
      <c r="BG15" s="297"/>
      <c r="BH15" s="297"/>
    </row>
    <row r="16" spans="1:60">
      <c r="A16" s="23" t="s">
        <v>138</v>
      </c>
      <c r="B16" s="12"/>
      <c r="C16" s="30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7"/>
      <c r="AJ16" s="297"/>
      <c r="AK16" s="297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7"/>
      <c r="AX16" s="297"/>
      <c r="AY16" s="297"/>
      <c r="AZ16" s="297"/>
      <c r="BA16" s="297"/>
      <c r="BB16" s="297"/>
      <c r="BC16" s="297"/>
      <c r="BD16" s="297"/>
      <c r="BE16" s="297"/>
      <c r="BF16" s="297"/>
      <c r="BG16" s="297"/>
      <c r="BH16" s="297"/>
    </row>
    <row r="17" spans="1:60">
      <c r="A17" s="13"/>
      <c r="B17" s="12"/>
      <c r="C17" s="308"/>
      <c r="D17" s="18"/>
      <c r="E17" s="18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150"/>
      <c r="AA17" s="150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297"/>
      <c r="AM17" s="297"/>
      <c r="AN17" s="297"/>
      <c r="AO17" s="297"/>
      <c r="AP17" s="297"/>
      <c r="AQ17" s="297"/>
      <c r="AR17" s="297"/>
      <c r="AS17" s="297"/>
      <c r="AT17" s="297"/>
      <c r="AU17" s="297"/>
      <c r="AV17" s="297"/>
      <c r="AW17" s="297"/>
      <c r="AX17" s="297"/>
      <c r="AY17" s="297"/>
      <c r="AZ17" s="297"/>
      <c r="BA17" s="297"/>
      <c r="BB17" s="297"/>
      <c r="BC17" s="297"/>
      <c r="BD17" s="297"/>
      <c r="BE17" s="297"/>
      <c r="BF17" s="297"/>
      <c r="BG17" s="297"/>
      <c r="BH17" s="297"/>
    </row>
    <row r="18" spans="1:60">
      <c r="A18" s="23" t="s">
        <v>139</v>
      </c>
      <c r="B18" s="12"/>
      <c r="C18" s="308">
        <f>Assumptions!C60</f>
        <v>145850.27715618577</v>
      </c>
      <c r="D18" s="18">
        <f>Depreciation!$B$48</f>
        <v>145894.02715618577</v>
      </c>
      <c r="E18" s="18">
        <f>Depreciation!$B$48</f>
        <v>145894.02715618577</v>
      </c>
      <c r="F18" s="18">
        <f>Depreciation!$B$48</f>
        <v>145894.02715618577</v>
      </c>
      <c r="G18" s="18">
        <f>Depreciation!$B$48</f>
        <v>145894.02715618577</v>
      </c>
      <c r="H18" s="18">
        <f>Depreciation!$B$48</f>
        <v>145894.02715618577</v>
      </c>
      <c r="I18" s="18">
        <f>Depreciation!$B$48</f>
        <v>145894.02715618577</v>
      </c>
      <c r="J18" s="18">
        <f>Depreciation!$B$48</f>
        <v>145894.02715618577</v>
      </c>
      <c r="K18" s="18">
        <f>Depreciation!$B$48</f>
        <v>145894.02715618577</v>
      </c>
      <c r="L18" s="18">
        <f>Depreciation!$B$48</f>
        <v>145894.02715618577</v>
      </c>
      <c r="M18" s="18">
        <f>Depreciation!$B$48</f>
        <v>145894.02715618577</v>
      </c>
      <c r="N18" s="18">
        <f>Depreciation!$B$48</f>
        <v>145894.02715618577</v>
      </c>
      <c r="O18" s="18">
        <f>Depreciation!$B$48</f>
        <v>145894.02715618577</v>
      </c>
      <c r="P18" s="18">
        <f>Depreciation!$B$48</f>
        <v>145894.02715618577</v>
      </c>
      <c r="Q18" s="18">
        <f>Depreciation!$B$48</f>
        <v>145894.02715618577</v>
      </c>
      <c r="R18" s="18">
        <f>Depreciation!$B$48</f>
        <v>145894.02715618577</v>
      </c>
      <c r="S18" s="18">
        <f>Depreciation!$B$48</f>
        <v>145894.02715618577</v>
      </c>
      <c r="T18" s="18">
        <f>Depreciation!$B$48</f>
        <v>145894.02715618577</v>
      </c>
      <c r="U18" s="18">
        <f>Depreciation!$B$48</f>
        <v>145894.02715618577</v>
      </c>
      <c r="V18" s="18">
        <f>Depreciation!$B$48</f>
        <v>145894.02715618577</v>
      </c>
      <c r="W18" s="18">
        <f>Depreciation!$B$48</f>
        <v>145894.02715618577</v>
      </c>
      <c r="X18" s="18">
        <f>Depreciation!$B$48</f>
        <v>145894.02715618577</v>
      </c>
      <c r="Y18" s="18">
        <f>Depreciation!$B$48</f>
        <v>145894.02715618577</v>
      </c>
      <c r="Z18" s="18">
        <f>Depreciation!$B$48</f>
        <v>145894.02715618577</v>
      </c>
      <c r="AA18" s="18">
        <f>Depreciation!$B$48</f>
        <v>145894.02715618577</v>
      </c>
      <c r="AB18" s="18">
        <f>Depreciation!$B$48</f>
        <v>145894.02715618577</v>
      </c>
      <c r="AC18" s="18">
        <f>Depreciation!$B$48</f>
        <v>145894.02715618577</v>
      </c>
      <c r="AD18" s="18">
        <f>Depreciation!$B$48</f>
        <v>145894.02715618577</v>
      </c>
      <c r="AE18" s="18">
        <f>Depreciation!$B$48</f>
        <v>145894.02715618577</v>
      </c>
      <c r="AF18" s="18">
        <f>Depreciation!$B$48</f>
        <v>145894.02715618577</v>
      </c>
      <c r="AG18" s="18">
        <f>Depreciation!$B$48</f>
        <v>145894.02715618577</v>
      </c>
      <c r="AH18" s="18">
        <f>Depreciation!$B$48</f>
        <v>145894.02715618577</v>
      </c>
      <c r="AI18" s="297"/>
      <c r="AJ18" s="297"/>
      <c r="AK18" s="297"/>
      <c r="AL18" s="297"/>
      <c r="AM18" s="297"/>
      <c r="AN18" s="297"/>
      <c r="AO18" s="297"/>
      <c r="AP18" s="297"/>
      <c r="AQ18" s="297"/>
      <c r="AR18" s="297"/>
      <c r="AS18" s="297"/>
      <c r="AT18" s="297"/>
      <c r="AU18" s="297"/>
      <c r="AV18" s="297"/>
      <c r="AW18" s="297"/>
      <c r="AX18" s="297"/>
      <c r="AY18" s="297"/>
      <c r="AZ18" s="297"/>
      <c r="BA18" s="297"/>
      <c r="BB18" s="297"/>
      <c r="BC18" s="297"/>
      <c r="BD18" s="297"/>
      <c r="BE18" s="297"/>
      <c r="BF18" s="297"/>
      <c r="BG18" s="297"/>
      <c r="BH18" s="297"/>
    </row>
    <row r="19" spans="1:60">
      <c r="A19" s="23" t="s">
        <v>140</v>
      </c>
      <c r="B19" s="13"/>
      <c r="C19" s="310">
        <v>0</v>
      </c>
      <c r="D19" s="298">
        <f>SUM(Depreciation!$D$48:D48)</f>
        <v>3686.1308071237149</v>
      </c>
      <c r="E19" s="298">
        <f>SUM(Depreciation!$D$48:E48)</f>
        <v>9215.327017809288</v>
      </c>
      <c r="F19" s="298">
        <f>SUM(Depreciation!$D$48:F48)</f>
        <v>14744.523228494862</v>
      </c>
      <c r="G19" s="298">
        <f>SUM(Depreciation!$D$48:G48)</f>
        <v>20273.719439180437</v>
      </c>
      <c r="H19" s="298">
        <f>SUM(Depreciation!$D$48:H48)</f>
        <v>25802.915649866009</v>
      </c>
      <c r="I19" s="298">
        <f>SUM(Depreciation!$D$48:I48)</f>
        <v>30428.288020551583</v>
      </c>
      <c r="J19" s="298">
        <f>SUM(Depreciation!$D$48:J48)</f>
        <v>34601.748471237159</v>
      </c>
      <c r="K19" s="298">
        <f>SUM(Depreciation!$D$48:K48)</f>
        <v>38775.208921922735</v>
      </c>
      <c r="L19" s="298">
        <f>SUM(Depreciation!$D$48:L48)</f>
        <v>42948.66937260831</v>
      </c>
      <c r="M19" s="298">
        <f>SUM(Depreciation!$D$48:M48)</f>
        <v>47122.129823293886</v>
      </c>
      <c r="N19" s="298">
        <f>SUM(Depreciation!$D$48:N48)</f>
        <v>51295.590273979462</v>
      </c>
      <c r="O19" s="298">
        <f>SUM(Depreciation!$D$48:O48)</f>
        <v>55469.050724665038</v>
      </c>
      <c r="P19" s="298">
        <f>SUM(Depreciation!$D$48:P48)</f>
        <v>59642.511175350613</v>
      </c>
      <c r="Q19" s="298">
        <f>SUM(Depreciation!$D$48:Q48)</f>
        <v>63815.971626036189</v>
      </c>
      <c r="R19" s="298">
        <f>SUM(Depreciation!$D$48:R48)</f>
        <v>67989.432076721758</v>
      </c>
      <c r="S19" s="298">
        <f>SUM(Depreciation!$D$48:S48)</f>
        <v>72162.892527407326</v>
      </c>
      <c r="T19" s="298">
        <f>SUM(Depreciation!$D$48:T48)</f>
        <v>76336.352978092895</v>
      </c>
      <c r="U19" s="298">
        <f>SUM(Depreciation!$D$48:U48)</f>
        <v>80509.813428778463</v>
      </c>
      <c r="V19" s="298">
        <f>SUM(Depreciation!$D$48:V48)</f>
        <v>84683.273879464032</v>
      </c>
      <c r="W19" s="298">
        <f>SUM(Depreciation!$D$48:W48)</f>
        <v>88856.7343301496</v>
      </c>
      <c r="X19" s="298">
        <f>SUM(Depreciation!$D$48:X48)</f>
        <v>93030.194780835169</v>
      </c>
      <c r="Y19" s="298">
        <f>SUM(Depreciation!$D$48:Y48)</f>
        <v>97203.655231520737</v>
      </c>
      <c r="Z19" s="298">
        <f>SUM(Depreciation!$D$48:Z48)</f>
        <v>101377.11568220631</v>
      </c>
      <c r="AA19" s="298">
        <f>SUM(Depreciation!$D$48:AA48)</f>
        <v>105550.57613289187</v>
      </c>
      <c r="AB19" s="298">
        <f>SUM(Depreciation!$D$48:AB48)</f>
        <v>109724.03658357744</v>
      </c>
      <c r="AC19" s="298">
        <f>SUM(Depreciation!$D$48:AC48)</f>
        <v>113897.49703426301</v>
      </c>
      <c r="AD19" s="298">
        <f>SUM(Depreciation!$D$48:AD48)</f>
        <v>118070.95748494858</v>
      </c>
      <c r="AE19" s="298">
        <f>SUM(Depreciation!$D$48:AE48)</f>
        <v>122244.41793563415</v>
      </c>
      <c r="AF19" s="298">
        <f>SUM(Depreciation!$D$48:AF48)</f>
        <v>126417.87838631972</v>
      </c>
      <c r="AG19" s="298">
        <f>SUM(Depreciation!$D$48:AG48)</f>
        <v>130591.33883700529</v>
      </c>
      <c r="AH19" s="298">
        <f>SUM(Depreciation!$D$48:AH48)</f>
        <v>131982.49232056714</v>
      </c>
      <c r="AI19" s="297"/>
      <c r="AJ19" s="297"/>
      <c r="AK19" s="297"/>
      <c r="AL19" s="297"/>
      <c r="AM19" s="297"/>
      <c r="AN19" s="297"/>
      <c r="AO19" s="297"/>
      <c r="AP19" s="297"/>
      <c r="AQ19" s="297"/>
      <c r="AR19" s="297"/>
      <c r="AS19" s="297"/>
      <c r="AT19" s="297"/>
      <c r="AU19" s="297"/>
      <c r="AV19" s="297"/>
      <c r="AW19" s="297"/>
      <c r="AX19" s="297"/>
      <c r="AY19" s="297"/>
      <c r="AZ19" s="297"/>
      <c r="BA19" s="297"/>
      <c r="BB19" s="297"/>
      <c r="BC19" s="297"/>
      <c r="BD19" s="297"/>
      <c r="BE19" s="297"/>
      <c r="BF19" s="297"/>
      <c r="BG19" s="297"/>
      <c r="BH19" s="297"/>
    </row>
    <row r="20" spans="1:60">
      <c r="A20" s="23" t="s">
        <v>141</v>
      </c>
      <c r="B20" s="13"/>
      <c r="C20" s="311">
        <f>C18-C19</f>
        <v>145850.27715618577</v>
      </c>
      <c r="D20" s="23">
        <f>D18-D19</f>
        <v>142207.89634906204</v>
      </c>
      <c r="E20" s="23">
        <f t="shared" ref="E20:AH20" si="2">E18-E19</f>
        <v>136678.70013837647</v>
      </c>
      <c r="F20" s="23">
        <f t="shared" si="2"/>
        <v>131149.50392769091</v>
      </c>
      <c r="G20" s="23">
        <f t="shared" si="2"/>
        <v>125620.30771700533</v>
      </c>
      <c r="H20" s="23">
        <f t="shared" si="2"/>
        <v>120091.11150631975</v>
      </c>
      <c r="I20" s="23">
        <f t="shared" si="2"/>
        <v>115465.73913563418</v>
      </c>
      <c r="J20" s="23">
        <f t="shared" si="2"/>
        <v>111292.2786849486</v>
      </c>
      <c r="K20" s="23">
        <f t="shared" si="2"/>
        <v>107118.81823426303</v>
      </c>
      <c r="L20" s="23">
        <f t="shared" si="2"/>
        <v>102945.35778357746</v>
      </c>
      <c r="M20" s="23">
        <f t="shared" si="2"/>
        <v>98771.89733289188</v>
      </c>
      <c r="N20" s="23">
        <f t="shared" si="2"/>
        <v>94598.436882206297</v>
      </c>
      <c r="O20" s="23">
        <f t="shared" si="2"/>
        <v>90424.976431520729</v>
      </c>
      <c r="P20" s="23">
        <f t="shared" si="2"/>
        <v>86251.51598083516</v>
      </c>
      <c r="Q20" s="23">
        <f t="shared" si="2"/>
        <v>82078.055530149577</v>
      </c>
      <c r="R20" s="23">
        <f t="shared" si="2"/>
        <v>77904.595079464008</v>
      </c>
      <c r="S20" s="23">
        <f t="shared" si="2"/>
        <v>73731.13462877844</v>
      </c>
      <c r="T20" s="23">
        <f t="shared" si="2"/>
        <v>69557.674178092871</v>
      </c>
      <c r="U20" s="23">
        <f t="shared" si="2"/>
        <v>65384.213727407303</v>
      </c>
      <c r="V20" s="23">
        <f t="shared" si="2"/>
        <v>61210.753276721734</v>
      </c>
      <c r="W20" s="23">
        <f t="shared" si="2"/>
        <v>57037.292826036166</v>
      </c>
      <c r="X20" s="23">
        <f t="shared" si="2"/>
        <v>52863.832375350597</v>
      </c>
      <c r="Y20" s="23">
        <f t="shared" si="2"/>
        <v>48690.371924665029</v>
      </c>
      <c r="Z20" s="23">
        <f t="shared" si="2"/>
        <v>44516.91147397946</v>
      </c>
      <c r="AA20" s="23">
        <f t="shared" si="2"/>
        <v>40343.451023293892</v>
      </c>
      <c r="AB20" s="23">
        <f t="shared" si="2"/>
        <v>36169.990572608323</v>
      </c>
      <c r="AC20" s="23">
        <f t="shared" si="2"/>
        <v>31996.530121922755</v>
      </c>
      <c r="AD20" s="23">
        <f t="shared" si="2"/>
        <v>27823.069671237186</v>
      </c>
      <c r="AE20" s="23">
        <f t="shared" si="2"/>
        <v>23649.609220551618</v>
      </c>
      <c r="AF20" s="23">
        <f t="shared" si="2"/>
        <v>19476.148769866049</v>
      </c>
      <c r="AG20" s="23">
        <f t="shared" si="2"/>
        <v>15302.688319180481</v>
      </c>
      <c r="AH20" s="23">
        <f t="shared" si="2"/>
        <v>13911.53483561863</v>
      </c>
      <c r="AI20" s="297"/>
      <c r="AJ20" s="297"/>
      <c r="AK20" s="297"/>
      <c r="AL20" s="297"/>
      <c r="AM20" s="297"/>
      <c r="AN20" s="297"/>
      <c r="AO20" s="297"/>
      <c r="AP20" s="297"/>
      <c r="AQ20" s="297"/>
      <c r="AR20" s="297"/>
      <c r="AS20" s="297"/>
      <c r="AT20" s="297"/>
      <c r="AU20" s="297"/>
      <c r="AV20" s="297"/>
      <c r="AW20" s="297"/>
      <c r="AX20" s="297"/>
      <c r="AY20" s="297"/>
      <c r="AZ20" s="297"/>
      <c r="BA20" s="297"/>
      <c r="BB20" s="297"/>
      <c r="BC20" s="297"/>
      <c r="BD20" s="297"/>
      <c r="BE20" s="297"/>
      <c r="BF20" s="297"/>
      <c r="BG20" s="297"/>
      <c r="BH20" s="297"/>
    </row>
    <row r="21" spans="1:60">
      <c r="A21" s="23"/>
      <c r="B21" s="13"/>
      <c r="C21" s="31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7"/>
      <c r="AJ21" s="297"/>
      <c r="AK21" s="297"/>
      <c r="AL21" s="297"/>
      <c r="AM21" s="297"/>
      <c r="AN21" s="297"/>
      <c r="AO21" s="297"/>
      <c r="AP21" s="297"/>
      <c r="AQ21" s="297"/>
      <c r="AR21" s="297"/>
      <c r="AS21" s="297"/>
      <c r="AT21" s="297"/>
      <c r="AU21" s="297"/>
      <c r="AV21" s="297"/>
      <c r="AW21" s="297"/>
      <c r="AX21" s="297"/>
      <c r="AY21" s="297"/>
      <c r="AZ21" s="297"/>
      <c r="BA21" s="297"/>
      <c r="BB21" s="297"/>
      <c r="BC21" s="297"/>
      <c r="BD21" s="297"/>
      <c r="BE21" s="297"/>
      <c r="BF21" s="297"/>
      <c r="BG21" s="297"/>
      <c r="BH21" s="297"/>
    </row>
    <row r="22" spans="1:60">
      <c r="A22" s="23" t="s">
        <v>142</v>
      </c>
      <c r="B22" s="13"/>
      <c r="C22" s="308">
        <f>Assumptions!$C$49</f>
        <v>0</v>
      </c>
      <c r="D22" s="18">
        <f>Assumptions!$C$49</f>
        <v>0</v>
      </c>
      <c r="E22" s="18">
        <f>Assumptions!$C$49</f>
        <v>0</v>
      </c>
      <c r="F22" s="18">
        <f>Assumptions!$C$49</f>
        <v>0</v>
      </c>
      <c r="G22" s="18">
        <f>Assumptions!$C$49</f>
        <v>0</v>
      </c>
      <c r="H22" s="18">
        <f>Assumptions!$C$49</f>
        <v>0</v>
      </c>
      <c r="I22" s="18">
        <f>Assumptions!$C$49</f>
        <v>0</v>
      </c>
      <c r="J22" s="18">
        <f>Assumptions!$C$49</f>
        <v>0</v>
      </c>
      <c r="K22" s="18">
        <f>Assumptions!$C$49</f>
        <v>0</v>
      </c>
      <c r="L22" s="18">
        <f>Assumptions!$C$49</f>
        <v>0</v>
      </c>
      <c r="M22" s="18">
        <f>Assumptions!$C$49</f>
        <v>0</v>
      </c>
      <c r="N22" s="18">
        <f>Assumptions!$C$49</f>
        <v>0</v>
      </c>
      <c r="O22" s="18">
        <f>Assumptions!$C$49</f>
        <v>0</v>
      </c>
      <c r="P22" s="18">
        <f>Assumptions!$C$49</f>
        <v>0</v>
      </c>
      <c r="Q22" s="18">
        <f>Assumptions!$C$49</f>
        <v>0</v>
      </c>
      <c r="R22" s="18">
        <f>Assumptions!$C$49</f>
        <v>0</v>
      </c>
      <c r="S22" s="18">
        <f>Assumptions!$C$49</f>
        <v>0</v>
      </c>
      <c r="T22" s="18">
        <f>Assumptions!$C$49</f>
        <v>0</v>
      </c>
      <c r="U22" s="18">
        <f>Assumptions!$C$49</f>
        <v>0</v>
      </c>
      <c r="V22" s="18">
        <f>Assumptions!$C$49</f>
        <v>0</v>
      </c>
      <c r="W22" s="18">
        <f>Assumptions!$C$49</f>
        <v>0</v>
      </c>
      <c r="X22" s="18">
        <f>Assumptions!$C$49</f>
        <v>0</v>
      </c>
      <c r="Y22" s="18">
        <f>Assumptions!$C$49</f>
        <v>0</v>
      </c>
      <c r="Z22" s="18">
        <f>Assumptions!$C$49</f>
        <v>0</v>
      </c>
      <c r="AA22" s="18">
        <f>Assumptions!$C$49</f>
        <v>0</v>
      </c>
      <c r="AB22" s="18">
        <f>Assumptions!$C$49</f>
        <v>0</v>
      </c>
      <c r="AC22" s="18">
        <f>Assumptions!$C$49</f>
        <v>0</v>
      </c>
      <c r="AD22" s="18">
        <f>Assumptions!$C$49</f>
        <v>0</v>
      </c>
      <c r="AE22" s="18">
        <f>Assumptions!$C$49</f>
        <v>0</v>
      </c>
      <c r="AF22" s="18">
        <f>Assumptions!$C$49</f>
        <v>0</v>
      </c>
      <c r="AG22" s="18">
        <f>Assumptions!$C$49</f>
        <v>0</v>
      </c>
      <c r="AH22" s="18">
        <f>Assumptions!$C$49</f>
        <v>0</v>
      </c>
      <c r="AI22" s="297"/>
      <c r="AJ22" s="297"/>
      <c r="AK22" s="297"/>
      <c r="AL22" s="297"/>
      <c r="AM22" s="297"/>
      <c r="AN22" s="297"/>
      <c r="AO22" s="297"/>
      <c r="AP22" s="297"/>
      <c r="AQ22" s="297"/>
      <c r="AR22" s="297"/>
      <c r="AS22" s="297"/>
      <c r="AT22" s="297"/>
      <c r="AU22" s="297"/>
      <c r="AV22" s="297"/>
      <c r="AW22" s="297"/>
      <c r="AX22" s="297"/>
      <c r="AY22" s="297"/>
      <c r="AZ22" s="297"/>
      <c r="BA22" s="297"/>
      <c r="BB22" s="297"/>
      <c r="BC22" s="297"/>
      <c r="BD22" s="297"/>
      <c r="BE22" s="297"/>
      <c r="BF22" s="297"/>
      <c r="BG22" s="297"/>
      <c r="BH22" s="297"/>
    </row>
    <row r="23" spans="1:60">
      <c r="A23" s="23" t="s">
        <v>143</v>
      </c>
      <c r="B23" s="13"/>
      <c r="C23" s="312">
        <v>0</v>
      </c>
      <c r="D23" s="299">
        <v>0</v>
      </c>
      <c r="E23" s="299">
        <v>0</v>
      </c>
      <c r="F23" s="299">
        <v>0</v>
      </c>
      <c r="G23" s="299">
        <v>0</v>
      </c>
      <c r="H23" s="299">
        <v>0</v>
      </c>
      <c r="I23" s="299">
        <v>0</v>
      </c>
      <c r="J23" s="299">
        <v>0</v>
      </c>
      <c r="K23" s="299">
        <v>0</v>
      </c>
      <c r="L23" s="299">
        <v>0</v>
      </c>
      <c r="M23" s="299">
        <v>0</v>
      </c>
      <c r="N23" s="299">
        <v>0</v>
      </c>
      <c r="O23" s="299">
        <v>0</v>
      </c>
      <c r="P23" s="299">
        <v>0</v>
      </c>
      <c r="Q23" s="299">
        <v>0</v>
      </c>
      <c r="R23" s="299">
        <v>0</v>
      </c>
      <c r="S23" s="299">
        <v>0</v>
      </c>
      <c r="T23" s="299">
        <v>0</v>
      </c>
      <c r="U23" s="299">
        <v>0</v>
      </c>
      <c r="V23" s="299">
        <v>0</v>
      </c>
      <c r="W23" s="299">
        <v>0</v>
      </c>
      <c r="X23" s="299">
        <v>0</v>
      </c>
      <c r="Y23" s="299">
        <v>0</v>
      </c>
      <c r="Z23" s="299">
        <v>0</v>
      </c>
      <c r="AA23" s="299">
        <v>0</v>
      </c>
      <c r="AB23" s="299">
        <v>0</v>
      </c>
      <c r="AC23" s="299">
        <v>0</v>
      </c>
      <c r="AD23" s="299">
        <v>0</v>
      </c>
      <c r="AE23" s="299">
        <v>0</v>
      </c>
      <c r="AF23" s="299">
        <v>0</v>
      </c>
      <c r="AG23" s="299">
        <v>0</v>
      </c>
      <c r="AH23" s="299">
        <v>0</v>
      </c>
      <c r="AI23" s="297"/>
      <c r="AJ23" s="297"/>
      <c r="AK23" s="297"/>
      <c r="AL23" s="297"/>
      <c r="AM23" s="297"/>
      <c r="AN23" s="297"/>
      <c r="AO23" s="297"/>
      <c r="AP23" s="297"/>
      <c r="AQ23" s="297"/>
      <c r="AR23" s="297"/>
      <c r="AS23" s="297"/>
      <c r="AT23" s="297"/>
      <c r="AU23" s="297"/>
      <c r="AV23" s="297"/>
      <c r="AW23" s="297"/>
      <c r="AX23" s="297"/>
      <c r="AY23" s="297"/>
      <c r="AZ23" s="297"/>
      <c r="BA23" s="297"/>
      <c r="BB23" s="297"/>
      <c r="BC23" s="297"/>
      <c r="BD23" s="297"/>
      <c r="BE23" s="297"/>
      <c r="BF23" s="297"/>
      <c r="BG23" s="297"/>
      <c r="BH23" s="297"/>
    </row>
    <row r="24" spans="1:60">
      <c r="A24" s="13"/>
      <c r="B24" s="13"/>
      <c r="C24" s="311"/>
      <c r="D24" s="23"/>
      <c r="E24" s="23"/>
      <c r="F24" s="300"/>
      <c r="G24" s="297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150"/>
      <c r="AA24" s="150"/>
      <c r="AB24" s="297"/>
      <c r="AC24" s="297"/>
      <c r="AD24" s="297"/>
      <c r="AE24" s="297"/>
      <c r="AF24" s="297"/>
      <c r="AG24" s="297"/>
      <c r="AH24" s="297"/>
      <c r="AI24" s="297"/>
      <c r="AJ24" s="297"/>
      <c r="AK24" s="297"/>
      <c r="AL24" s="297"/>
      <c r="AM24" s="297"/>
      <c r="AN24" s="297"/>
      <c r="AO24" s="297"/>
      <c r="AP24" s="297"/>
      <c r="AQ24" s="297"/>
      <c r="AR24" s="297"/>
      <c r="AS24" s="297"/>
      <c r="AT24" s="297"/>
      <c r="AU24" s="297"/>
      <c r="AV24" s="297"/>
      <c r="AW24" s="297"/>
      <c r="AX24" s="297"/>
      <c r="AY24" s="297"/>
      <c r="AZ24" s="297"/>
      <c r="BA24" s="297"/>
      <c r="BB24" s="297"/>
      <c r="BC24" s="297"/>
      <c r="BD24" s="297"/>
      <c r="BE24" s="297"/>
      <c r="BF24" s="297"/>
      <c r="BG24" s="297"/>
      <c r="BH24" s="297"/>
    </row>
    <row r="25" spans="1:60">
      <c r="A25" s="133" t="s">
        <v>144</v>
      </c>
      <c r="B25" s="13"/>
      <c r="C25" s="311">
        <f>SUM(C16,C20,C22,C23)</f>
        <v>145850.27715618577</v>
      </c>
      <c r="D25" s="23">
        <f>SUM(D16,D20,D22,D23)</f>
        <v>142207.89634906204</v>
      </c>
      <c r="E25" s="23">
        <f t="shared" ref="E25:AH25" si="3">SUM(E16,E20,E22,E23)</f>
        <v>136678.70013837647</v>
      </c>
      <c r="F25" s="23">
        <f t="shared" si="3"/>
        <v>131149.50392769091</v>
      </c>
      <c r="G25" s="23">
        <f t="shared" si="3"/>
        <v>125620.30771700533</v>
      </c>
      <c r="H25" s="23">
        <f t="shared" si="3"/>
        <v>120091.11150631975</v>
      </c>
      <c r="I25" s="23">
        <f t="shared" si="3"/>
        <v>115465.73913563418</v>
      </c>
      <c r="J25" s="23">
        <f t="shared" si="3"/>
        <v>111292.2786849486</v>
      </c>
      <c r="K25" s="23">
        <f t="shared" si="3"/>
        <v>107118.81823426303</v>
      </c>
      <c r="L25" s="23">
        <f t="shared" si="3"/>
        <v>102945.35778357746</v>
      </c>
      <c r="M25" s="23">
        <f t="shared" si="3"/>
        <v>98771.89733289188</v>
      </c>
      <c r="N25" s="23">
        <f t="shared" si="3"/>
        <v>94598.436882206297</v>
      </c>
      <c r="O25" s="23">
        <f t="shared" si="3"/>
        <v>90424.976431520729</v>
      </c>
      <c r="P25" s="23">
        <f t="shared" si="3"/>
        <v>86251.51598083516</v>
      </c>
      <c r="Q25" s="23">
        <f t="shared" si="3"/>
        <v>82078.055530149577</v>
      </c>
      <c r="R25" s="23">
        <f t="shared" si="3"/>
        <v>77904.595079464008</v>
      </c>
      <c r="S25" s="23">
        <f t="shared" si="3"/>
        <v>73731.13462877844</v>
      </c>
      <c r="T25" s="23">
        <f t="shared" si="3"/>
        <v>69557.674178092871</v>
      </c>
      <c r="U25" s="23">
        <f t="shared" si="3"/>
        <v>65384.213727407303</v>
      </c>
      <c r="V25" s="23">
        <f t="shared" si="3"/>
        <v>61210.753276721734</v>
      </c>
      <c r="W25" s="23">
        <f t="shared" si="3"/>
        <v>57037.292826036166</v>
      </c>
      <c r="X25" s="23">
        <f t="shared" si="3"/>
        <v>52863.832375350597</v>
      </c>
      <c r="Y25" s="23">
        <f t="shared" si="3"/>
        <v>48690.371924665029</v>
      </c>
      <c r="Z25" s="23">
        <f t="shared" si="3"/>
        <v>44516.91147397946</v>
      </c>
      <c r="AA25" s="23">
        <f t="shared" si="3"/>
        <v>40343.451023293892</v>
      </c>
      <c r="AB25" s="23">
        <f t="shared" si="3"/>
        <v>36169.990572608323</v>
      </c>
      <c r="AC25" s="23">
        <f t="shared" si="3"/>
        <v>31996.530121922755</v>
      </c>
      <c r="AD25" s="23">
        <f t="shared" si="3"/>
        <v>27823.069671237186</v>
      </c>
      <c r="AE25" s="23">
        <f t="shared" si="3"/>
        <v>23649.609220551618</v>
      </c>
      <c r="AF25" s="23">
        <f t="shared" si="3"/>
        <v>19476.148769866049</v>
      </c>
      <c r="AG25" s="23">
        <f t="shared" si="3"/>
        <v>15302.688319180481</v>
      </c>
      <c r="AH25" s="23">
        <f t="shared" si="3"/>
        <v>13911.53483561863</v>
      </c>
      <c r="AI25" s="297"/>
      <c r="AJ25" s="297"/>
      <c r="AK25" s="297"/>
      <c r="AL25" s="297"/>
      <c r="AM25" s="297"/>
      <c r="AN25" s="297"/>
      <c r="AO25" s="297"/>
      <c r="AP25" s="297"/>
      <c r="AQ25" s="297"/>
      <c r="AR25" s="297"/>
      <c r="AS25" s="297"/>
      <c r="AT25" s="297"/>
      <c r="AU25" s="297"/>
      <c r="AV25" s="297"/>
      <c r="AW25" s="297"/>
      <c r="AX25" s="297"/>
      <c r="AY25" s="297"/>
      <c r="AZ25" s="297"/>
      <c r="BA25" s="297"/>
      <c r="BB25" s="297"/>
      <c r="BC25" s="297"/>
      <c r="BD25" s="297"/>
      <c r="BE25" s="297"/>
      <c r="BF25" s="297"/>
      <c r="BG25" s="297"/>
      <c r="BH25" s="297"/>
    </row>
    <row r="26" spans="1:60">
      <c r="A26" s="13"/>
      <c r="B26" s="13"/>
      <c r="C26" s="311"/>
      <c r="D26" s="23"/>
      <c r="E26" s="23"/>
      <c r="F26" s="300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150"/>
      <c r="AA26" s="150"/>
      <c r="AB26" s="297"/>
      <c r="AC26" s="297"/>
      <c r="AD26" s="297"/>
      <c r="AE26" s="297"/>
      <c r="AF26" s="297"/>
      <c r="AG26" s="297"/>
      <c r="AH26" s="297"/>
      <c r="AI26" s="297"/>
      <c r="AJ26" s="297"/>
      <c r="AK26" s="297"/>
      <c r="AL26" s="297"/>
      <c r="AM26" s="297"/>
      <c r="AN26" s="297"/>
      <c r="AO26" s="297"/>
      <c r="AP26" s="297"/>
      <c r="AQ26" s="297"/>
      <c r="AR26" s="297"/>
      <c r="AS26" s="297"/>
      <c r="AT26" s="297"/>
      <c r="AU26" s="297"/>
      <c r="AV26" s="297"/>
      <c r="AW26" s="297"/>
      <c r="AX26" s="297"/>
      <c r="AY26" s="297"/>
      <c r="AZ26" s="297"/>
      <c r="BA26" s="297"/>
      <c r="BB26" s="297"/>
      <c r="BC26" s="297"/>
      <c r="BD26" s="297"/>
      <c r="BE26" s="297"/>
      <c r="BF26" s="297"/>
      <c r="BG26" s="297"/>
      <c r="BH26" s="297"/>
    </row>
    <row r="27" spans="1:60">
      <c r="A27" s="13"/>
      <c r="B27" s="13"/>
      <c r="C27" s="311"/>
      <c r="D27" s="23"/>
      <c r="E27" s="23"/>
      <c r="F27" s="300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150"/>
      <c r="AA27" s="150"/>
      <c r="AB27" s="297"/>
      <c r="AC27" s="297"/>
      <c r="AD27" s="297"/>
      <c r="AE27" s="297"/>
      <c r="AF27" s="297"/>
      <c r="AG27" s="297"/>
      <c r="AH27" s="297"/>
      <c r="AI27" s="297"/>
      <c r="AJ27" s="297"/>
      <c r="AK27" s="297"/>
      <c r="AL27" s="297"/>
      <c r="AM27" s="297"/>
      <c r="AN27" s="297"/>
      <c r="AO27" s="297"/>
      <c r="AP27" s="297"/>
      <c r="AQ27" s="297"/>
      <c r="AR27" s="297"/>
      <c r="AS27" s="297"/>
      <c r="AT27" s="297"/>
      <c r="AU27" s="297"/>
      <c r="AV27" s="297"/>
      <c r="AW27" s="297"/>
      <c r="AX27" s="297"/>
      <c r="AY27" s="297"/>
      <c r="AZ27" s="297"/>
      <c r="BA27" s="297"/>
      <c r="BB27" s="297"/>
      <c r="BC27" s="297"/>
      <c r="BD27" s="297"/>
      <c r="BE27" s="297"/>
      <c r="BF27" s="297"/>
      <c r="BG27" s="297"/>
      <c r="BH27" s="297"/>
    </row>
    <row r="28" spans="1:60">
      <c r="A28" s="133" t="s">
        <v>145</v>
      </c>
      <c r="B28" s="13"/>
      <c r="C28" s="311"/>
      <c r="D28" s="23"/>
      <c r="E28" s="23"/>
      <c r="F28" s="300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150"/>
      <c r="AA28" s="150"/>
      <c r="AB28" s="297"/>
      <c r="AC28" s="297"/>
      <c r="AD28" s="297"/>
      <c r="AE28" s="297"/>
      <c r="AF28" s="297"/>
      <c r="AG28" s="297"/>
      <c r="AH28" s="297"/>
      <c r="AI28" s="297"/>
      <c r="AJ28" s="297"/>
      <c r="AK28" s="297"/>
      <c r="AL28" s="297"/>
      <c r="AM28" s="297"/>
      <c r="AN28" s="297"/>
      <c r="AO28" s="297"/>
      <c r="AP28" s="297"/>
      <c r="AQ28" s="297"/>
      <c r="AR28" s="297"/>
      <c r="AS28" s="297"/>
      <c r="AT28" s="297"/>
      <c r="AU28" s="297"/>
      <c r="AV28" s="297"/>
      <c r="AW28" s="297"/>
      <c r="AX28" s="297"/>
      <c r="AY28" s="297"/>
      <c r="AZ28" s="297"/>
      <c r="BA28" s="297"/>
      <c r="BB28" s="297"/>
      <c r="BC28" s="297"/>
      <c r="BD28" s="297"/>
      <c r="BE28" s="297"/>
      <c r="BF28" s="297"/>
      <c r="BG28" s="297"/>
      <c r="BH28" s="297"/>
    </row>
    <row r="29" spans="1:60">
      <c r="A29" s="133"/>
      <c r="B29" s="13"/>
      <c r="C29" s="311"/>
      <c r="D29" s="23"/>
      <c r="E29" s="23"/>
      <c r="F29" s="300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150"/>
      <c r="AA29" s="150"/>
      <c r="AB29" s="297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97"/>
      <c r="AO29" s="297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97"/>
      <c r="BB29" s="297"/>
      <c r="BC29" s="297"/>
      <c r="BD29" s="297"/>
      <c r="BE29" s="297"/>
      <c r="BF29" s="297"/>
      <c r="BG29" s="297"/>
      <c r="BH29" s="297"/>
    </row>
    <row r="30" spans="1:60">
      <c r="A30" s="23" t="s">
        <v>146</v>
      </c>
      <c r="C30" s="30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7"/>
      <c r="AJ30" s="297"/>
      <c r="AK30" s="297"/>
      <c r="AL30" s="297"/>
      <c r="AM30" s="297"/>
      <c r="AN30" s="297"/>
      <c r="AO30" s="297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97"/>
      <c r="BB30" s="297"/>
      <c r="BC30" s="297"/>
      <c r="BD30" s="297"/>
      <c r="BE30" s="297"/>
      <c r="BF30" s="297"/>
      <c r="BG30" s="297"/>
      <c r="BH30" s="297"/>
    </row>
    <row r="31" spans="1:60">
      <c r="A31" s="23" t="s">
        <v>147</v>
      </c>
      <c r="C31" s="30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7"/>
      <c r="AJ31" s="297"/>
      <c r="AK31" s="297"/>
      <c r="AL31" s="297"/>
      <c r="AM31" s="297"/>
      <c r="AN31" s="297"/>
      <c r="AO31" s="297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97"/>
      <c r="BB31" s="297"/>
      <c r="BC31" s="297"/>
      <c r="BD31" s="297"/>
      <c r="BE31" s="297"/>
      <c r="BF31" s="297"/>
      <c r="BG31" s="297"/>
      <c r="BH31" s="297"/>
    </row>
    <row r="32" spans="1:60">
      <c r="A32" s="23" t="s">
        <v>148</v>
      </c>
      <c r="C32" s="31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297"/>
      <c r="AJ32" s="297"/>
      <c r="AK32" s="297"/>
      <c r="AL32" s="297"/>
      <c r="AM32" s="297"/>
      <c r="AN32" s="297"/>
      <c r="AO32" s="297"/>
      <c r="AP32" s="297"/>
      <c r="AQ32" s="297"/>
      <c r="AR32" s="297"/>
      <c r="AS32" s="297"/>
      <c r="AT32" s="297"/>
      <c r="AU32" s="297"/>
      <c r="AV32" s="297"/>
      <c r="AW32" s="297"/>
      <c r="AX32" s="297"/>
      <c r="AY32" s="297"/>
      <c r="AZ32" s="297"/>
      <c r="BA32" s="297"/>
      <c r="BB32" s="297"/>
      <c r="BC32" s="297"/>
      <c r="BD32" s="297"/>
      <c r="BE32" s="297"/>
      <c r="BF32" s="297"/>
      <c r="BG32" s="297"/>
      <c r="BH32" s="297"/>
    </row>
    <row r="33" spans="1:60">
      <c r="A33" s="23" t="s">
        <v>149</v>
      </c>
      <c r="C33" s="308">
        <v>0</v>
      </c>
      <c r="D33" s="18">
        <f>Assumptions!$C$49</f>
        <v>0</v>
      </c>
      <c r="E33" s="18">
        <f>Assumptions!$C$49</f>
        <v>0</v>
      </c>
      <c r="F33" s="18">
        <f>Assumptions!$C$49</f>
        <v>0</v>
      </c>
      <c r="G33" s="18">
        <f>Assumptions!$C$49</f>
        <v>0</v>
      </c>
      <c r="H33" s="18">
        <f>Assumptions!$C$49</f>
        <v>0</v>
      </c>
      <c r="I33" s="18">
        <f>Assumptions!$C$49</f>
        <v>0</v>
      </c>
      <c r="J33" s="18">
        <f>Assumptions!$C$49</f>
        <v>0</v>
      </c>
      <c r="K33" s="18">
        <f>Assumptions!$C$49</f>
        <v>0</v>
      </c>
      <c r="L33" s="18">
        <f>Assumptions!$C$49</f>
        <v>0</v>
      </c>
      <c r="M33" s="18">
        <f>Assumptions!$C$49</f>
        <v>0</v>
      </c>
      <c r="N33" s="18">
        <f>Assumptions!$C$49</f>
        <v>0</v>
      </c>
      <c r="O33" s="18">
        <f>Assumptions!$C$49</f>
        <v>0</v>
      </c>
      <c r="P33" s="18">
        <f>Assumptions!$C$49</f>
        <v>0</v>
      </c>
      <c r="Q33" s="18">
        <f>Assumptions!$C$49</f>
        <v>0</v>
      </c>
      <c r="R33" s="18">
        <f>Assumptions!$C$49</f>
        <v>0</v>
      </c>
      <c r="S33" s="18">
        <f>Assumptions!$C$49</f>
        <v>0</v>
      </c>
      <c r="T33" s="18">
        <f>Assumptions!$C$49</f>
        <v>0</v>
      </c>
      <c r="U33" s="18">
        <f>Assumptions!$C$49</f>
        <v>0</v>
      </c>
      <c r="V33" s="18">
        <f>Assumptions!$C$49</f>
        <v>0</v>
      </c>
      <c r="W33" s="18">
        <f>Assumptions!$C$49</f>
        <v>0</v>
      </c>
      <c r="X33" s="18">
        <f>Assumptions!$C$49</f>
        <v>0</v>
      </c>
      <c r="Y33" s="18">
        <f>Assumptions!$C$49</f>
        <v>0</v>
      </c>
      <c r="Z33" s="18">
        <f>Assumptions!$C$49</f>
        <v>0</v>
      </c>
      <c r="AA33" s="18">
        <f>Assumptions!$C$49</f>
        <v>0</v>
      </c>
      <c r="AB33" s="18">
        <f>Assumptions!$C$49</f>
        <v>0</v>
      </c>
      <c r="AC33" s="18">
        <f>Assumptions!$C$49</f>
        <v>0</v>
      </c>
      <c r="AD33" s="18">
        <f>Assumptions!$C$49</f>
        <v>0</v>
      </c>
      <c r="AE33" s="18">
        <f>Assumptions!$C$49</f>
        <v>0</v>
      </c>
      <c r="AF33" s="18">
        <f>Assumptions!$C$49</f>
        <v>0</v>
      </c>
      <c r="AG33" s="18">
        <f>Assumptions!$C$49</f>
        <v>0</v>
      </c>
      <c r="AH33" s="18">
        <f>Assumptions!$C$49</f>
        <v>0</v>
      </c>
      <c r="AI33" s="297"/>
      <c r="AJ33" s="297"/>
      <c r="AK33" s="297"/>
      <c r="AL33" s="297"/>
      <c r="AM33" s="297"/>
      <c r="AN33" s="297"/>
      <c r="AO33" s="297"/>
      <c r="AP33" s="297"/>
      <c r="AQ33" s="297"/>
      <c r="AR33" s="297"/>
      <c r="AS33" s="297"/>
      <c r="AT33" s="297"/>
      <c r="AU33" s="297"/>
      <c r="AV33" s="297"/>
      <c r="AW33" s="297"/>
      <c r="AX33" s="297"/>
      <c r="AY33" s="297"/>
      <c r="AZ33" s="297"/>
      <c r="BA33" s="297"/>
      <c r="BB33" s="297"/>
      <c r="BC33" s="297"/>
      <c r="BD33" s="297"/>
      <c r="BE33" s="297"/>
      <c r="BF33" s="297"/>
      <c r="BG33" s="297"/>
      <c r="BH33" s="297"/>
    </row>
    <row r="34" spans="1:60">
      <c r="A34" s="23" t="s">
        <v>150</v>
      </c>
      <c r="C34" s="311">
        <f>Assumptions!C12</f>
        <v>102095.19400933004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7"/>
      <c r="AJ34" s="297"/>
      <c r="AK34" s="297"/>
      <c r="AL34" s="297"/>
      <c r="AM34" s="297"/>
      <c r="AN34" s="297"/>
      <c r="AO34" s="297"/>
      <c r="AP34" s="297"/>
      <c r="AQ34" s="297"/>
      <c r="AR34" s="297"/>
      <c r="AS34" s="297"/>
      <c r="AT34" s="297"/>
      <c r="AU34" s="297"/>
      <c r="AV34" s="297"/>
      <c r="AW34" s="297"/>
      <c r="AX34" s="297"/>
      <c r="AY34" s="297"/>
      <c r="AZ34" s="297"/>
      <c r="BA34" s="297"/>
      <c r="BB34" s="297"/>
      <c r="BC34" s="297"/>
      <c r="BD34" s="297"/>
      <c r="BE34" s="297"/>
      <c r="BF34" s="297"/>
      <c r="BG34" s="297"/>
      <c r="BH34" s="297"/>
    </row>
    <row r="35" spans="1:60">
      <c r="A35" s="23" t="s">
        <v>151</v>
      </c>
      <c r="C35" s="310">
        <v>0</v>
      </c>
      <c r="D35" s="298">
        <v>0</v>
      </c>
      <c r="E35" s="298">
        <v>0</v>
      </c>
      <c r="F35" s="301">
        <v>0</v>
      </c>
      <c r="G35" s="302">
        <v>0</v>
      </c>
      <c r="H35" s="302">
        <v>0</v>
      </c>
      <c r="I35" s="302">
        <v>0</v>
      </c>
      <c r="J35" s="302">
        <v>0</v>
      </c>
      <c r="K35" s="302">
        <v>0</v>
      </c>
      <c r="L35" s="302">
        <v>0</v>
      </c>
      <c r="M35" s="302">
        <v>0</v>
      </c>
      <c r="N35" s="302">
        <v>0</v>
      </c>
      <c r="O35" s="302">
        <v>0</v>
      </c>
      <c r="P35" s="302">
        <v>0</v>
      </c>
      <c r="Q35" s="302">
        <v>0</v>
      </c>
      <c r="R35" s="302">
        <v>0</v>
      </c>
      <c r="S35" s="302">
        <v>0</v>
      </c>
      <c r="T35" s="302">
        <v>0</v>
      </c>
      <c r="U35" s="302">
        <v>0</v>
      </c>
      <c r="V35" s="302">
        <v>0</v>
      </c>
      <c r="W35" s="302">
        <v>0</v>
      </c>
      <c r="X35" s="302">
        <v>0</v>
      </c>
      <c r="Y35" s="302">
        <v>0</v>
      </c>
      <c r="Z35" s="303">
        <v>0</v>
      </c>
      <c r="AA35" s="303">
        <v>0</v>
      </c>
      <c r="AB35" s="302">
        <v>0</v>
      </c>
      <c r="AC35" s="302">
        <v>0</v>
      </c>
      <c r="AD35" s="302">
        <v>0</v>
      </c>
      <c r="AE35" s="302">
        <v>0</v>
      </c>
      <c r="AF35" s="302">
        <v>0</v>
      </c>
      <c r="AG35" s="302">
        <v>0</v>
      </c>
      <c r="AH35" s="302">
        <v>0</v>
      </c>
      <c r="AI35" s="297"/>
      <c r="AJ35" s="297"/>
      <c r="AK35" s="297"/>
      <c r="AL35" s="297"/>
      <c r="AM35" s="297"/>
      <c r="AN35" s="297"/>
      <c r="AO35" s="297"/>
      <c r="AP35" s="297"/>
      <c r="AQ35" s="297"/>
      <c r="AR35" s="297"/>
      <c r="AS35" s="297"/>
      <c r="AT35" s="297"/>
      <c r="AU35" s="297"/>
      <c r="AV35" s="297"/>
      <c r="AW35" s="297"/>
      <c r="AX35" s="297"/>
      <c r="AY35" s="297"/>
      <c r="AZ35" s="297"/>
      <c r="BA35" s="297"/>
      <c r="BB35" s="297"/>
      <c r="BC35" s="297"/>
      <c r="BD35" s="297"/>
      <c r="BE35" s="297"/>
      <c r="BF35" s="297"/>
      <c r="BG35" s="297"/>
      <c r="BH35" s="297"/>
    </row>
    <row r="36" spans="1:60">
      <c r="A36" s="23"/>
      <c r="C36" s="311"/>
      <c r="D36" s="23"/>
      <c r="E36" s="23"/>
      <c r="F36" s="300"/>
      <c r="G36" s="297"/>
      <c r="H36" s="297"/>
      <c r="I36" s="297"/>
      <c r="J36" s="297"/>
      <c r="K36" s="297"/>
      <c r="L36" s="297"/>
      <c r="M36" s="297"/>
      <c r="N36" s="297"/>
      <c r="O36" s="297"/>
      <c r="P36" s="297"/>
      <c r="Q36" s="297"/>
      <c r="R36" s="297"/>
      <c r="S36" s="297"/>
      <c r="T36" s="297"/>
      <c r="U36" s="297"/>
      <c r="V36" s="297"/>
      <c r="W36" s="297"/>
      <c r="X36" s="297"/>
      <c r="Y36" s="297"/>
      <c r="Z36" s="150"/>
      <c r="AA36" s="150"/>
      <c r="AB36" s="297"/>
      <c r="AC36" s="297"/>
      <c r="AD36" s="297"/>
      <c r="AE36" s="297"/>
      <c r="AF36" s="297"/>
      <c r="AG36" s="297"/>
      <c r="AH36" s="297"/>
      <c r="AI36" s="297"/>
      <c r="AJ36" s="297"/>
      <c r="AK36" s="297"/>
      <c r="AL36" s="297"/>
      <c r="AM36" s="297"/>
      <c r="AN36" s="297"/>
      <c r="AO36" s="297"/>
      <c r="AP36" s="297"/>
      <c r="AQ36" s="297"/>
      <c r="AR36" s="297"/>
      <c r="AS36" s="297"/>
      <c r="AT36" s="297"/>
      <c r="AU36" s="297"/>
      <c r="AV36" s="297"/>
      <c r="AW36" s="297"/>
      <c r="AX36" s="297"/>
      <c r="AY36" s="297"/>
      <c r="AZ36" s="297"/>
      <c r="BA36" s="297"/>
      <c r="BB36" s="297"/>
      <c r="BC36" s="297"/>
      <c r="BD36" s="297"/>
      <c r="BE36" s="297"/>
      <c r="BF36" s="297"/>
      <c r="BG36" s="297"/>
      <c r="BH36" s="297"/>
    </row>
    <row r="37" spans="1:60">
      <c r="A37" s="133" t="s">
        <v>152</v>
      </c>
      <c r="B37" s="13"/>
      <c r="C37" s="311">
        <f>SUM(C30:C35)</f>
        <v>102095.19400933004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297"/>
      <c r="AJ37" s="297"/>
      <c r="AK37" s="297"/>
      <c r="AL37" s="297"/>
      <c r="AM37" s="297"/>
      <c r="AN37" s="297"/>
      <c r="AO37" s="297"/>
      <c r="AP37" s="297"/>
      <c r="AQ37" s="297"/>
      <c r="AR37" s="297"/>
      <c r="AS37" s="297"/>
      <c r="AT37" s="297"/>
      <c r="AU37" s="297"/>
      <c r="AV37" s="297"/>
      <c r="AW37" s="297"/>
      <c r="AX37" s="297"/>
      <c r="AY37" s="297"/>
      <c r="AZ37" s="297"/>
      <c r="BA37" s="297"/>
      <c r="BB37" s="297"/>
      <c r="BC37" s="297"/>
      <c r="BD37" s="297"/>
      <c r="BE37" s="297"/>
      <c r="BF37" s="297"/>
      <c r="BG37" s="297"/>
      <c r="BH37" s="297"/>
    </row>
    <row r="38" spans="1:60">
      <c r="A38" s="23"/>
      <c r="B38" s="13"/>
      <c r="C38" s="311"/>
      <c r="D38" s="23"/>
      <c r="E38" s="23"/>
      <c r="F38" s="300"/>
      <c r="G38" s="297"/>
      <c r="H38" s="297"/>
      <c r="I38" s="297"/>
      <c r="J38" s="297"/>
      <c r="K38" s="297"/>
      <c r="L38" s="297"/>
      <c r="M38" s="297"/>
      <c r="N38" s="297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150"/>
      <c r="AA38" s="150"/>
      <c r="AB38" s="297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97"/>
      <c r="AO38" s="29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97"/>
      <c r="BB38" s="297"/>
      <c r="BC38" s="297"/>
      <c r="BD38" s="297"/>
      <c r="BE38" s="297"/>
      <c r="BF38" s="297"/>
      <c r="BG38" s="297"/>
      <c r="BH38" s="297"/>
    </row>
    <row r="39" spans="1:60">
      <c r="A39" s="133" t="s">
        <v>153</v>
      </c>
      <c r="B39" s="13"/>
      <c r="C39" s="311"/>
      <c r="D39" s="23"/>
      <c r="E39" s="23"/>
      <c r="F39" s="300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150"/>
      <c r="AA39" s="150"/>
      <c r="AB39" s="297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97"/>
      <c r="AO39" s="297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97"/>
      <c r="BB39" s="297"/>
      <c r="BC39" s="297"/>
      <c r="BD39" s="297"/>
      <c r="BE39" s="297"/>
      <c r="BF39" s="297"/>
      <c r="BG39" s="297"/>
      <c r="BH39" s="297"/>
    </row>
    <row r="40" spans="1:60">
      <c r="A40" s="133"/>
      <c r="B40" s="13"/>
      <c r="C40" s="311"/>
      <c r="D40" s="23"/>
      <c r="E40" s="23"/>
      <c r="F40" s="300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150"/>
      <c r="AA40" s="150"/>
      <c r="AB40" s="297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97"/>
      <c r="AO40" s="297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97"/>
      <c r="BB40" s="297"/>
      <c r="BC40" s="297"/>
      <c r="BD40" s="297"/>
      <c r="BE40" s="297"/>
      <c r="BF40" s="297"/>
      <c r="BG40" s="297"/>
      <c r="BH40" s="297"/>
    </row>
    <row r="41" spans="1:60">
      <c r="A41" s="23" t="s">
        <v>154</v>
      </c>
      <c r="C41" s="311">
        <f>Assumptions!$C$11</f>
        <v>43755.08314685573</v>
      </c>
      <c r="D41" s="23">
        <f>Assumptions!$C$11</f>
        <v>43755.08314685573</v>
      </c>
      <c r="E41" s="23">
        <f>Assumptions!$C$11</f>
        <v>43755.08314685573</v>
      </c>
      <c r="F41" s="23">
        <f>Assumptions!$C$11</f>
        <v>43755.08314685573</v>
      </c>
      <c r="G41" s="23">
        <f>Assumptions!$C$11</f>
        <v>43755.08314685573</v>
      </c>
      <c r="H41" s="23">
        <f>Assumptions!$C$11</f>
        <v>43755.08314685573</v>
      </c>
      <c r="I41" s="23">
        <f>Assumptions!$C$11</f>
        <v>43755.08314685573</v>
      </c>
      <c r="J41" s="23">
        <f>Assumptions!$C$11</f>
        <v>43755.08314685573</v>
      </c>
      <c r="K41" s="23">
        <f>Assumptions!$C$11</f>
        <v>43755.08314685573</v>
      </c>
      <c r="L41" s="23">
        <f>Assumptions!$C$11</f>
        <v>43755.08314685573</v>
      </c>
      <c r="M41" s="23">
        <f>Assumptions!$C$11</f>
        <v>43755.08314685573</v>
      </c>
      <c r="N41" s="23">
        <f>Assumptions!$C$11</f>
        <v>43755.08314685573</v>
      </c>
      <c r="O41" s="23">
        <f>Assumptions!$C$11</f>
        <v>43755.08314685573</v>
      </c>
      <c r="P41" s="23">
        <f>Assumptions!$C$11</f>
        <v>43755.08314685573</v>
      </c>
      <c r="Q41" s="23">
        <f>Assumptions!$C$11</f>
        <v>43755.08314685573</v>
      </c>
      <c r="R41" s="23">
        <f>Assumptions!$C$11</f>
        <v>43755.08314685573</v>
      </c>
      <c r="S41" s="23">
        <f>Assumptions!$C$11</f>
        <v>43755.08314685573</v>
      </c>
      <c r="T41" s="23">
        <f>Assumptions!$C$11</f>
        <v>43755.08314685573</v>
      </c>
      <c r="U41" s="23">
        <f>Assumptions!$C$11</f>
        <v>43755.08314685573</v>
      </c>
      <c r="V41" s="23">
        <f>Assumptions!$C$11</f>
        <v>43755.08314685573</v>
      </c>
      <c r="W41" s="23">
        <f>Assumptions!$C$11</f>
        <v>43755.08314685573</v>
      </c>
      <c r="X41" s="23">
        <f>Assumptions!$C$11</f>
        <v>43755.08314685573</v>
      </c>
      <c r="Y41" s="23">
        <f>Assumptions!$C$11</f>
        <v>43755.08314685573</v>
      </c>
      <c r="Z41" s="23">
        <f>Assumptions!$C$11</f>
        <v>43755.08314685573</v>
      </c>
      <c r="AA41" s="23">
        <f>Assumptions!$C$11</f>
        <v>43755.08314685573</v>
      </c>
      <c r="AB41" s="23">
        <f>Assumptions!$C$11</f>
        <v>43755.08314685573</v>
      </c>
      <c r="AC41" s="23">
        <f>Assumptions!$C$11</f>
        <v>43755.08314685573</v>
      </c>
      <c r="AD41" s="23">
        <f>Assumptions!$C$11</f>
        <v>43755.08314685573</v>
      </c>
      <c r="AE41" s="23">
        <f>Assumptions!$C$11</f>
        <v>43755.08314685573</v>
      </c>
      <c r="AF41" s="23">
        <f>Assumptions!$C$11</f>
        <v>43755.08314685573</v>
      </c>
      <c r="AG41" s="23">
        <f>Assumptions!$C$11</f>
        <v>43755.08314685573</v>
      </c>
      <c r="AH41" s="23">
        <f>Assumptions!$C$11</f>
        <v>43755.08314685573</v>
      </c>
      <c r="AI41" s="297"/>
      <c r="AJ41" s="297"/>
      <c r="AK41" s="297"/>
      <c r="AL41" s="297"/>
      <c r="AM41" s="297"/>
      <c r="AN41" s="297"/>
      <c r="AO41" s="297"/>
      <c r="AP41" s="297"/>
      <c r="AQ41" s="297"/>
      <c r="AR41" s="297"/>
      <c r="AS41" s="297"/>
      <c r="AT41" s="297"/>
      <c r="AU41" s="297"/>
      <c r="AV41" s="297"/>
      <c r="AW41" s="297"/>
      <c r="AX41" s="297"/>
      <c r="AY41" s="297"/>
      <c r="AZ41" s="297"/>
      <c r="BA41" s="297"/>
      <c r="BB41" s="297"/>
      <c r="BC41" s="297"/>
      <c r="BD41" s="297"/>
      <c r="BE41" s="297"/>
      <c r="BF41" s="297"/>
      <c r="BG41" s="297"/>
      <c r="BH41" s="297"/>
    </row>
    <row r="42" spans="1:60">
      <c r="A42" s="23" t="s">
        <v>155</v>
      </c>
      <c r="C42" s="310" t="e">
        <f>IS!B45-'Returns Analysis'!#REF!</f>
        <v>#REF!</v>
      </c>
      <c r="D42" s="298" t="e">
        <f>IS!C45-'Returns Analysis'!#REF!</f>
        <v>#REF!</v>
      </c>
      <c r="E42" s="298" t="e">
        <f>IS!D45-'Returns Analysis'!#REF!</f>
        <v>#REF!</v>
      </c>
      <c r="F42" s="298" t="e">
        <f>IS!E45-'Returns Analysis'!#REF!</f>
        <v>#REF!</v>
      </c>
      <c r="G42" s="298" t="e">
        <f>IS!F45-'Returns Analysis'!#REF!</f>
        <v>#REF!</v>
      </c>
      <c r="H42" s="298" t="e">
        <f>IS!G45-'Returns Analysis'!#REF!</f>
        <v>#REF!</v>
      </c>
      <c r="I42" s="298" t="e">
        <f>IS!H45-'Returns Analysis'!#REF!</f>
        <v>#REF!</v>
      </c>
      <c r="J42" s="298" t="e">
        <f>IS!I45-'Returns Analysis'!#REF!</f>
        <v>#REF!</v>
      </c>
      <c r="K42" s="298" t="e">
        <f>IS!J45-'Returns Analysis'!#REF!</f>
        <v>#REF!</v>
      </c>
      <c r="L42" s="298" t="e">
        <f>IS!K45-'Returns Analysis'!#REF!</f>
        <v>#REF!</v>
      </c>
      <c r="M42" s="298" t="e">
        <f>IS!L45-'Returns Analysis'!#REF!</f>
        <v>#REF!</v>
      </c>
      <c r="N42" s="298" t="e">
        <f>IS!M45-'Returns Analysis'!#REF!</f>
        <v>#REF!</v>
      </c>
      <c r="O42" s="298" t="e">
        <f>IS!N45-'Returns Analysis'!#REF!</f>
        <v>#REF!</v>
      </c>
      <c r="P42" s="298" t="e">
        <f>IS!O45-'Returns Analysis'!#REF!</f>
        <v>#REF!</v>
      </c>
      <c r="Q42" s="298" t="e">
        <f>IS!P45-'Returns Analysis'!#REF!</f>
        <v>#REF!</v>
      </c>
      <c r="R42" s="298" t="e">
        <f>IS!Q45-'Returns Analysis'!#REF!</f>
        <v>#REF!</v>
      </c>
      <c r="S42" s="298" t="e">
        <f>IS!R45-'Returns Analysis'!#REF!</f>
        <v>#REF!</v>
      </c>
      <c r="T42" s="298" t="e">
        <f>IS!S45-'Returns Analysis'!#REF!</f>
        <v>#REF!</v>
      </c>
      <c r="U42" s="298" t="e">
        <f>IS!T45-'Returns Analysis'!#REF!</f>
        <v>#REF!</v>
      </c>
      <c r="V42" s="298" t="e">
        <f>IS!U45-'Returns Analysis'!#REF!</f>
        <v>#REF!</v>
      </c>
      <c r="W42" s="298" t="e">
        <f>IS!V45-'Returns Analysis'!#REF!</f>
        <v>#REF!</v>
      </c>
      <c r="X42" s="298" t="e">
        <f>IS!W45-'Returns Analysis'!#REF!</f>
        <v>#REF!</v>
      </c>
      <c r="Y42" s="298" t="e">
        <f>IS!X45-'Returns Analysis'!#REF!</f>
        <v>#REF!</v>
      </c>
      <c r="Z42" s="298" t="e">
        <f>IS!Y45-'Returns Analysis'!#REF!</f>
        <v>#REF!</v>
      </c>
      <c r="AA42" s="298" t="e">
        <f>IS!Z45-'Returns Analysis'!#REF!</f>
        <v>#REF!</v>
      </c>
      <c r="AB42" s="298" t="e">
        <f>IS!AA45-'Returns Analysis'!#REF!</f>
        <v>#REF!</v>
      </c>
      <c r="AC42" s="298" t="e">
        <f>IS!AB45-'Returns Analysis'!#REF!</f>
        <v>#REF!</v>
      </c>
      <c r="AD42" s="298" t="e">
        <f>IS!AC45-'Returns Analysis'!#REF!</f>
        <v>#REF!</v>
      </c>
      <c r="AE42" s="298" t="e">
        <f>IS!AD45-'Returns Analysis'!#REF!</f>
        <v>#REF!</v>
      </c>
      <c r="AF42" s="298" t="e">
        <f>IS!AE45-'Returns Analysis'!#REF!</f>
        <v>#REF!</v>
      </c>
      <c r="AG42" s="298" t="e">
        <f>IS!AF45-'Returns Analysis'!#REF!</f>
        <v>#REF!</v>
      </c>
      <c r="AH42" s="298" t="e">
        <f>IS!AG45-'Returns Analysis'!#REF!</f>
        <v>#REF!</v>
      </c>
      <c r="AI42" s="297"/>
      <c r="AJ42" s="297"/>
      <c r="AK42" s="297"/>
      <c r="AL42" s="297"/>
      <c r="AM42" s="297"/>
      <c r="AN42" s="297"/>
      <c r="AO42" s="297"/>
      <c r="AP42" s="297"/>
      <c r="AQ42" s="297"/>
      <c r="AR42" s="297"/>
      <c r="AS42" s="297"/>
      <c r="AT42" s="297"/>
      <c r="AU42" s="297"/>
      <c r="AV42" s="297"/>
      <c r="AW42" s="297"/>
      <c r="AX42" s="297"/>
      <c r="AY42" s="297"/>
      <c r="AZ42" s="297"/>
      <c r="BA42" s="297"/>
      <c r="BB42" s="297"/>
      <c r="BC42" s="297"/>
      <c r="BD42" s="297"/>
      <c r="BE42" s="297"/>
      <c r="BF42" s="297"/>
      <c r="BG42" s="297"/>
      <c r="BH42" s="297"/>
    </row>
    <row r="43" spans="1:60">
      <c r="A43" s="23" t="s">
        <v>156</v>
      </c>
      <c r="C43" s="31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297"/>
      <c r="AJ43" s="297"/>
      <c r="AK43" s="297"/>
      <c r="AL43" s="297"/>
      <c r="AM43" s="297"/>
      <c r="AN43" s="297"/>
      <c r="AO43" s="297"/>
      <c r="AP43" s="297"/>
      <c r="AQ43" s="297"/>
      <c r="AR43" s="297"/>
      <c r="AS43" s="297"/>
      <c r="AT43" s="297"/>
      <c r="AU43" s="297"/>
      <c r="AV43" s="297"/>
      <c r="AW43" s="297"/>
      <c r="AX43" s="297"/>
      <c r="AY43" s="297"/>
      <c r="AZ43" s="297"/>
      <c r="BA43" s="297"/>
      <c r="BB43" s="297"/>
      <c r="BC43" s="297"/>
      <c r="BD43" s="297"/>
      <c r="BE43" s="297"/>
      <c r="BF43" s="297"/>
      <c r="BG43" s="297"/>
      <c r="BH43" s="297"/>
    </row>
    <row r="44" spans="1:60">
      <c r="A44" s="13"/>
      <c r="B44" s="13"/>
      <c r="C44" s="311"/>
      <c r="D44" s="23"/>
      <c r="E44" s="23"/>
      <c r="F44" s="300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150"/>
      <c r="AA44" s="150"/>
      <c r="AB44" s="297"/>
      <c r="AC44" s="297"/>
      <c r="AD44" s="297"/>
      <c r="AE44" s="297"/>
      <c r="AF44" s="297"/>
      <c r="AG44" s="297"/>
      <c r="AH44" s="297"/>
      <c r="AI44" s="297"/>
      <c r="AJ44" s="297"/>
      <c r="AK44" s="297"/>
      <c r="AL44" s="297"/>
      <c r="AM44" s="297"/>
      <c r="AN44" s="297"/>
      <c r="AO44" s="297"/>
      <c r="AP44" s="297"/>
      <c r="AQ44" s="297"/>
      <c r="AR44" s="297"/>
      <c r="AS44" s="297"/>
      <c r="AT44" s="297"/>
      <c r="AU44" s="297"/>
      <c r="AV44" s="297"/>
      <c r="AW44" s="297"/>
      <c r="AX44" s="297"/>
      <c r="AY44" s="297"/>
      <c r="AZ44" s="297"/>
      <c r="BA44" s="297"/>
      <c r="BB44" s="297"/>
      <c r="BC44" s="297"/>
      <c r="BD44" s="297"/>
      <c r="BE44" s="297"/>
      <c r="BF44" s="297"/>
      <c r="BG44" s="297"/>
      <c r="BH44" s="297"/>
    </row>
    <row r="45" spans="1:60">
      <c r="A45" s="133" t="s">
        <v>157</v>
      </c>
      <c r="B45" s="13"/>
      <c r="C45" s="31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297"/>
      <c r="AJ45" s="297"/>
      <c r="AK45" s="297"/>
      <c r="AL45" s="297"/>
      <c r="AM45" s="297"/>
      <c r="AN45" s="297"/>
      <c r="AO45" s="297"/>
      <c r="AP45" s="297"/>
      <c r="AQ45" s="297"/>
      <c r="AR45" s="297"/>
      <c r="AS45" s="297"/>
      <c r="AT45" s="297"/>
      <c r="AU45" s="297"/>
      <c r="AV45" s="297"/>
      <c r="AW45" s="297"/>
      <c r="AX45" s="297"/>
      <c r="AY45" s="297"/>
      <c r="AZ45" s="297"/>
      <c r="BA45" s="297"/>
      <c r="BB45" s="297"/>
      <c r="BC45" s="297"/>
      <c r="BD45" s="297"/>
      <c r="BE45" s="297"/>
      <c r="BF45" s="297"/>
      <c r="BG45" s="297"/>
      <c r="BH45" s="297"/>
    </row>
    <row r="46" spans="1:60">
      <c r="A46" s="23"/>
      <c r="B46" s="13"/>
      <c r="C46" s="311"/>
      <c r="D46" s="23"/>
      <c r="E46" s="23"/>
      <c r="F46" s="300"/>
      <c r="G46" s="297"/>
      <c r="H46" s="297"/>
      <c r="I46" s="297"/>
      <c r="J46" s="297"/>
      <c r="K46" s="297"/>
      <c r="L46" s="297"/>
      <c r="M46" s="297"/>
      <c r="N46" s="297"/>
      <c r="O46" s="297"/>
      <c r="P46" s="297"/>
      <c r="Q46" s="297"/>
      <c r="R46" s="297"/>
      <c r="S46" s="297"/>
      <c r="T46" s="297"/>
      <c r="U46" s="297"/>
      <c r="V46" s="297"/>
      <c r="W46" s="297"/>
      <c r="X46" s="297"/>
      <c r="Y46" s="297"/>
      <c r="Z46" s="150"/>
      <c r="AA46" s="150"/>
      <c r="AB46" s="297"/>
      <c r="AC46" s="297"/>
      <c r="AD46" s="297"/>
      <c r="AE46" s="297"/>
      <c r="AF46" s="297"/>
      <c r="AG46" s="297"/>
      <c r="AH46" s="297"/>
      <c r="AI46" s="297"/>
      <c r="AJ46" s="297"/>
      <c r="AK46" s="297"/>
      <c r="AL46" s="297"/>
      <c r="AM46" s="297"/>
      <c r="AN46" s="297"/>
      <c r="AO46" s="297"/>
      <c r="AP46" s="297"/>
      <c r="AQ46" s="297"/>
      <c r="AR46" s="297"/>
      <c r="AS46" s="297"/>
      <c r="AT46" s="297"/>
      <c r="AU46" s="297"/>
      <c r="AV46" s="297"/>
      <c r="AW46" s="297"/>
      <c r="AX46" s="297"/>
      <c r="AY46" s="297"/>
      <c r="AZ46" s="297"/>
      <c r="BA46" s="297"/>
      <c r="BB46" s="297"/>
      <c r="BC46" s="297"/>
      <c r="BD46" s="297"/>
      <c r="BE46" s="297"/>
      <c r="BF46" s="297"/>
      <c r="BG46" s="297"/>
      <c r="BH46" s="297"/>
    </row>
    <row r="47" spans="1:60">
      <c r="A47" s="133" t="s">
        <v>158</v>
      </c>
      <c r="B47" s="13"/>
      <c r="C47" s="31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297"/>
      <c r="AJ47" s="297"/>
      <c r="AK47" s="297"/>
      <c r="AL47" s="297"/>
      <c r="AM47" s="297"/>
      <c r="AN47" s="297"/>
      <c r="AO47" s="297"/>
      <c r="AP47" s="297"/>
      <c r="AQ47" s="297"/>
      <c r="AR47" s="297"/>
      <c r="AS47" s="297"/>
      <c r="AT47" s="297"/>
      <c r="AU47" s="297"/>
      <c r="AV47" s="297"/>
      <c r="AW47" s="297"/>
      <c r="AX47" s="297"/>
      <c r="AY47" s="297"/>
      <c r="AZ47" s="297"/>
      <c r="BA47" s="297"/>
      <c r="BB47" s="297"/>
      <c r="BC47" s="297"/>
      <c r="BD47" s="297"/>
      <c r="BE47" s="297"/>
      <c r="BF47" s="297"/>
      <c r="BG47" s="297"/>
      <c r="BH47" s="297"/>
    </row>
    <row r="48" spans="1:60">
      <c r="A48" s="13"/>
      <c r="B48" s="13"/>
      <c r="C48" s="23"/>
      <c r="D48" s="23"/>
      <c r="E48" s="23"/>
      <c r="F48" s="300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150"/>
      <c r="AA48" s="150"/>
      <c r="AB48" s="297"/>
      <c r="AC48" s="297"/>
      <c r="AD48" s="297"/>
      <c r="AE48" s="297"/>
      <c r="AF48" s="297"/>
      <c r="AG48" s="297"/>
      <c r="AH48" s="297"/>
      <c r="AI48" s="297"/>
      <c r="AJ48" s="297"/>
      <c r="AK48" s="297"/>
      <c r="AL48" s="297"/>
      <c r="AM48" s="297"/>
      <c r="AN48" s="297"/>
      <c r="AO48" s="297"/>
      <c r="AP48" s="297"/>
      <c r="AQ48" s="297"/>
      <c r="AR48" s="297"/>
      <c r="AS48" s="297"/>
      <c r="AT48" s="297"/>
      <c r="AU48" s="297"/>
      <c r="AV48" s="297"/>
      <c r="AW48" s="297"/>
      <c r="AX48" s="297"/>
      <c r="AY48" s="297"/>
      <c r="AZ48" s="297"/>
      <c r="BA48" s="297"/>
      <c r="BB48" s="297"/>
      <c r="BC48" s="297"/>
      <c r="BD48" s="297"/>
      <c r="BE48" s="297"/>
      <c r="BF48" s="297"/>
      <c r="BG48" s="297"/>
      <c r="BH48" s="297"/>
    </row>
    <row r="49" spans="1:60">
      <c r="A49" s="13"/>
      <c r="B49" s="13"/>
      <c r="C49" s="23"/>
      <c r="D49" s="23"/>
      <c r="E49" s="23"/>
      <c r="F49" s="300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150"/>
      <c r="AA49" s="150"/>
      <c r="AB49" s="297"/>
      <c r="AC49" s="297"/>
      <c r="AD49" s="297"/>
      <c r="AE49" s="297"/>
      <c r="AF49" s="297"/>
      <c r="AG49" s="297"/>
      <c r="AH49" s="297"/>
      <c r="AI49" s="297"/>
      <c r="AJ49" s="297"/>
      <c r="AK49" s="297"/>
      <c r="AL49" s="297"/>
      <c r="AM49" s="297"/>
      <c r="AN49" s="297"/>
      <c r="AO49" s="297"/>
      <c r="AP49" s="297"/>
      <c r="AQ49" s="297"/>
      <c r="AR49" s="297"/>
      <c r="AS49" s="297"/>
      <c r="AT49" s="297"/>
      <c r="AU49" s="297"/>
      <c r="AV49" s="297"/>
      <c r="AW49" s="297"/>
      <c r="AX49" s="297"/>
      <c r="AY49" s="297"/>
      <c r="AZ49" s="297"/>
      <c r="BA49" s="297"/>
      <c r="BB49" s="297"/>
      <c r="BC49" s="297"/>
      <c r="BD49" s="297"/>
      <c r="BE49" s="297"/>
      <c r="BF49" s="297"/>
      <c r="BG49" s="297"/>
      <c r="BH49" s="297"/>
    </row>
    <row r="50" spans="1:60">
      <c r="A50" s="13"/>
      <c r="B50" s="13"/>
      <c r="C50" s="23"/>
      <c r="D50" s="23"/>
      <c r="E50" s="23"/>
      <c r="F50" s="300"/>
      <c r="G50" s="297"/>
      <c r="H50" s="297"/>
      <c r="I50" s="297"/>
      <c r="J50" s="297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  <c r="Z50" s="150"/>
      <c r="AA50" s="150"/>
      <c r="AB50" s="297"/>
      <c r="AC50" s="297"/>
      <c r="AD50" s="297"/>
      <c r="AE50" s="297"/>
      <c r="AF50" s="297"/>
      <c r="AG50" s="297"/>
      <c r="AH50" s="297"/>
      <c r="AI50" s="297"/>
      <c r="AJ50" s="297"/>
      <c r="AK50" s="297"/>
      <c r="AL50" s="297"/>
      <c r="AM50" s="297"/>
      <c r="AN50" s="297"/>
      <c r="AO50" s="297"/>
      <c r="AP50" s="297"/>
      <c r="AQ50" s="297"/>
      <c r="AR50" s="297"/>
      <c r="AS50" s="297"/>
      <c r="AT50" s="297"/>
      <c r="AU50" s="297"/>
      <c r="AV50" s="297"/>
      <c r="AW50" s="297"/>
      <c r="AX50" s="297"/>
      <c r="AY50" s="297"/>
      <c r="AZ50" s="297"/>
      <c r="BA50" s="297"/>
      <c r="BB50" s="297"/>
      <c r="BC50" s="297"/>
      <c r="BD50" s="297"/>
      <c r="BE50" s="297"/>
      <c r="BF50" s="297"/>
      <c r="BG50" s="297"/>
      <c r="BH50" s="297"/>
    </row>
    <row r="51" spans="1:60">
      <c r="A51" s="13"/>
      <c r="B51" s="13"/>
      <c r="C51" s="23"/>
      <c r="D51" s="23"/>
      <c r="E51" s="23"/>
      <c r="F51" s="300"/>
      <c r="G51" s="297"/>
      <c r="H51" s="297"/>
      <c r="I51" s="297"/>
      <c r="J51" s="297"/>
      <c r="K51" s="297"/>
      <c r="L51" s="297"/>
      <c r="M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  <c r="Z51" s="150"/>
      <c r="AA51" s="150"/>
      <c r="AB51" s="297"/>
      <c r="AC51" s="297"/>
      <c r="AD51" s="297"/>
      <c r="AE51" s="297"/>
      <c r="AF51" s="297"/>
      <c r="AG51" s="297"/>
      <c r="AH51" s="297"/>
      <c r="AI51" s="297"/>
      <c r="AJ51" s="297"/>
      <c r="AK51" s="297"/>
      <c r="AL51" s="297"/>
      <c r="AM51" s="297"/>
      <c r="AN51" s="297"/>
      <c r="AO51" s="297"/>
      <c r="AP51" s="297"/>
      <c r="AQ51" s="297"/>
      <c r="AR51" s="297"/>
      <c r="AS51" s="297"/>
      <c r="AT51" s="297"/>
      <c r="AU51" s="297"/>
      <c r="AV51" s="297"/>
      <c r="AW51" s="297"/>
      <c r="AX51" s="297"/>
      <c r="AY51" s="297"/>
      <c r="AZ51" s="297"/>
      <c r="BA51" s="297"/>
      <c r="BB51" s="297"/>
      <c r="BC51" s="297"/>
      <c r="BD51" s="297"/>
      <c r="BE51" s="297"/>
      <c r="BF51" s="297"/>
      <c r="BG51" s="297"/>
      <c r="BH51" s="297"/>
    </row>
    <row r="52" spans="1:60">
      <c r="A52" s="13"/>
      <c r="B52" s="13"/>
      <c r="C52" s="23"/>
      <c r="D52" s="23"/>
      <c r="E52" s="23"/>
      <c r="F52" s="300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150"/>
      <c r="AA52" s="150"/>
      <c r="AB52" s="297"/>
      <c r="AC52" s="297"/>
      <c r="AD52" s="297"/>
      <c r="AE52" s="297"/>
      <c r="AF52" s="297"/>
      <c r="AG52" s="297"/>
      <c r="AH52" s="297"/>
      <c r="AI52" s="297"/>
      <c r="AJ52" s="297"/>
      <c r="AK52" s="297"/>
      <c r="AL52" s="297"/>
      <c r="AM52" s="297"/>
      <c r="AN52" s="297"/>
      <c r="AO52" s="297"/>
      <c r="AP52" s="297"/>
      <c r="AQ52" s="297"/>
      <c r="AR52" s="297"/>
      <c r="AS52" s="297"/>
      <c r="AT52" s="297"/>
      <c r="AU52" s="297"/>
      <c r="AV52" s="297"/>
      <c r="AW52" s="297"/>
      <c r="AX52" s="297"/>
      <c r="AY52" s="297"/>
      <c r="AZ52" s="297"/>
      <c r="BA52" s="297"/>
      <c r="BB52" s="297"/>
      <c r="BC52" s="297"/>
      <c r="BD52" s="297"/>
      <c r="BE52" s="297"/>
      <c r="BF52" s="297"/>
      <c r="BG52" s="297"/>
      <c r="BH52" s="297"/>
    </row>
    <row r="53" spans="1:60">
      <c r="A53" s="13"/>
      <c r="B53" s="13"/>
      <c r="C53" s="23"/>
      <c r="D53" s="23"/>
      <c r="E53" s="23"/>
      <c r="F53" s="300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150"/>
      <c r="AA53" s="150"/>
      <c r="AB53" s="297"/>
      <c r="AC53" s="297"/>
      <c r="AD53" s="297"/>
      <c r="AE53" s="297"/>
      <c r="AF53" s="297"/>
      <c r="AG53" s="297"/>
      <c r="AH53" s="297"/>
      <c r="AI53" s="297"/>
      <c r="AJ53" s="297"/>
      <c r="AK53" s="297"/>
      <c r="AL53" s="297"/>
      <c r="AM53" s="297"/>
      <c r="AN53" s="297"/>
      <c r="AO53" s="297"/>
      <c r="AP53" s="297"/>
      <c r="AQ53" s="297"/>
      <c r="AR53" s="297"/>
      <c r="AS53" s="297"/>
      <c r="AT53" s="297"/>
      <c r="AU53" s="297"/>
      <c r="AV53" s="297"/>
      <c r="AW53" s="297"/>
      <c r="AX53" s="297"/>
      <c r="AY53" s="297"/>
      <c r="AZ53" s="297"/>
      <c r="BA53" s="297"/>
      <c r="BB53" s="297"/>
      <c r="BC53" s="297"/>
      <c r="BD53" s="297"/>
      <c r="BE53" s="297"/>
      <c r="BF53" s="297"/>
      <c r="BG53" s="297"/>
      <c r="BH53" s="297"/>
    </row>
    <row r="54" spans="1:60">
      <c r="A54" s="13"/>
      <c r="B54" s="13"/>
      <c r="C54" s="23"/>
      <c r="D54" s="23"/>
      <c r="E54" s="23"/>
      <c r="F54" s="300"/>
      <c r="G54" s="297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  <c r="Z54" s="150"/>
      <c r="AA54" s="150"/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7"/>
      <c r="AM54" s="297"/>
      <c r="AN54" s="297"/>
      <c r="AO54" s="297"/>
      <c r="AP54" s="297"/>
      <c r="AQ54" s="297"/>
      <c r="AR54" s="297"/>
      <c r="AS54" s="297"/>
      <c r="AT54" s="297"/>
      <c r="AU54" s="297"/>
      <c r="AV54" s="297"/>
      <c r="AW54" s="297"/>
      <c r="AX54" s="297"/>
      <c r="AY54" s="297"/>
      <c r="AZ54" s="297"/>
      <c r="BA54" s="297"/>
      <c r="BB54" s="297"/>
      <c r="BC54" s="297"/>
      <c r="BD54" s="297"/>
      <c r="BE54" s="297"/>
      <c r="BF54" s="297"/>
      <c r="BG54" s="297"/>
      <c r="BH54" s="297"/>
    </row>
    <row r="55" spans="1:60">
      <c r="A55" s="13"/>
      <c r="B55" s="178"/>
      <c r="C55" s="300"/>
      <c r="D55" s="300"/>
      <c r="E55" s="300"/>
      <c r="F55" s="300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150"/>
      <c r="AA55" s="150"/>
      <c r="AB55" s="297"/>
      <c r="AC55" s="297"/>
      <c r="AD55" s="297"/>
      <c r="AE55" s="297"/>
      <c r="AF55" s="297"/>
      <c r="AG55" s="297"/>
      <c r="AH55" s="297"/>
      <c r="AI55" s="297"/>
      <c r="AJ55" s="297"/>
      <c r="AK55" s="297"/>
      <c r="AL55" s="297"/>
      <c r="AM55" s="297"/>
      <c r="AN55" s="297"/>
      <c r="AO55" s="297"/>
      <c r="AP55" s="297"/>
      <c r="AQ55" s="297"/>
      <c r="AR55" s="297"/>
      <c r="AS55" s="297"/>
      <c r="AT55" s="297"/>
      <c r="AU55" s="297"/>
      <c r="AV55" s="297"/>
      <c r="AW55" s="297"/>
      <c r="AX55" s="297"/>
      <c r="AY55" s="297"/>
      <c r="AZ55" s="297"/>
      <c r="BA55" s="297"/>
      <c r="BB55" s="297"/>
      <c r="BC55" s="297"/>
      <c r="BD55" s="297"/>
      <c r="BE55" s="297"/>
      <c r="BF55" s="297"/>
      <c r="BG55" s="297"/>
      <c r="BH55" s="297"/>
    </row>
    <row r="56" spans="1:60">
      <c r="A56" s="13"/>
      <c r="B56" s="178"/>
      <c r="C56" s="300"/>
      <c r="D56" s="300"/>
      <c r="E56" s="300"/>
      <c r="F56" s="300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150"/>
      <c r="AA56" s="150"/>
      <c r="AB56" s="297"/>
      <c r="AC56" s="297"/>
      <c r="AD56" s="297"/>
      <c r="AE56" s="297"/>
      <c r="AF56" s="297"/>
      <c r="AG56" s="297"/>
      <c r="AH56" s="297"/>
      <c r="AI56" s="297"/>
      <c r="AJ56" s="297"/>
      <c r="AK56" s="297"/>
      <c r="AL56" s="297"/>
      <c r="AM56" s="297"/>
      <c r="AN56" s="297"/>
      <c r="AO56" s="297"/>
      <c r="AP56" s="297"/>
      <c r="AQ56" s="297"/>
      <c r="AR56" s="297"/>
      <c r="AS56" s="297"/>
      <c r="AT56" s="297"/>
      <c r="AU56" s="297"/>
      <c r="AV56" s="297"/>
      <c r="AW56" s="297"/>
      <c r="AX56" s="297"/>
      <c r="AY56" s="297"/>
      <c r="AZ56" s="297"/>
      <c r="BA56" s="297"/>
      <c r="BB56" s="297"/>
      <c r="BC56" s="297"/>
      <c r="BD56" s="297"/>
      <c r="BE56" s="297"/>
      <c r="BF56" s="297"/>
      <c r="BG56" s="297"/>
      <c r="BH56" s="297"/>
    </row>
    <row r="57" spans="1:60">
      <c r="A57" s="13"/>
      <c r="B57" s="178"/>
      <c r="C57" s="300"/>
      <c r="D57" s="300"/>
      <c r="E57" s="300"/>
      <c r="F57" s="300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150"/>
      <c r="AA57" s="150"/>
      <c r="AB57" s="297"/>
      <c r="AC57" s="297"/>
      <c r="AD57" s="297"/>
      <c r="AE57" s="297"/>
      <c r="AF57" s="297"/>
      <c r="AG57" s="297"/>
      <c r="AH57" s="297"/>
      <c r="AI57" s="297"/>
      <c r="AJ57" s="297"/>
      <c r="AK57" s="297"/>
      <c r="AL57" s="297"/>
      <c r="AM57" s="297"/>
      <c r="AN57" s="297"/>
      <c r="AO57" s="297"/>
      <c r="AP57" s="297"/>
      <c r="AQ57" s="297"/>
      <c r="AR57" s="297"/>
      <c r="AS57" s="297"/>
      <c r="AT57" s="297"/>
      <c r="AU57" s="297"/>
      <c r="AV57" s="297"/>
      <c r="AW57" s="297"/>
      <c r="AX57" s="297"/>
      <c r="AY57" s="297"/>
      <c r="AZ57" s="297"/>
      <c r="BA57" s="297"/>
      <c r="BB57" s="297"/>
      <c r="BC57" s="297"/>
      <c r="BD57" s="297"/>
      <c r="BE57" s="297"/>
      <c r="BF57" s="297"/>
      <c r="BG57" s="297"/>
      <c r="BH57" s="297"/>
    </row>
    <row r="58" spans="1:60">
      <c r="A58" s="13"/>
      <c r="B58" s="178"/>
      <c r="C58" s="300"/>
      <c r="D58" s="300"/>
      <c r="E58" s="300"/>
      <c r="F58" s="300"/>
      <c r="G58" s="297"/>
      <c r="H58" s="297"/>
      <c r="I58" s="297"/>
      <c r="J58" s="297"/>
      <c r="K58" s="297"/>
      <c r="L58" s="297"/>
      <c r="M58" s="297"/>
      <c r="N58" s="297"/>
      <c r="O58" s="297"/>
      <c r="P58" s="297"/>
      <c r="Q58" s="297"/>
      <c r="R58" s="297"/>
      <c r="S58" s="297"/>
      <c r="T58" s="297"/>
      <c r="U58" s="297"/>
      <c r="V58" s="297"/>
      <c r="W58" s="297"/>
      <c r="X58" s="297"/>
      <c r="Y58" s="297"/>
      <c r="Z58" s="150"/>
      <c r="AA58" s="150"/>
      <c r="AB58" s="297"/>
      <c r="AC58" s="297"/>
      <c r="AD58" s="297"/>
      <c r="AE58" s="297"/>
      <c r="AF58" s="297"/>
      <c r="AG58" s="297"/>
      <c r="AH58" s="297"/>
      <c r="AI58" s="297"/>
      <c r="AJ58" s="297"/>
      <c r="AK58" s="297"/>
      <c r="AL58" s="297"/>
      <c r="AM58" s="297"/>
      <c r="AN58" s="297"/>
      <c r="AO58" s="297"/>
      <c r="AP58" s="297"/>
      <c r="AQ58" s="297"/>
      <c r="AR58" s="297"/>
      <c r="AS58" s="297"/>
      <c r="AT58" s="297"/>
      <c r="AU58" s="297"/>
      <c r="AV58" s="297"/>
      <c r="AW58" s="297"/>
      <c r="AX58" s="297"/>
      <c r="AY58" s="297"/>
      <c r="AZ58" s="297"/>
      <c r="BA58" s="297"/>
      <c r="BB58" s="297"/>
      <c r="BC58" s="297"/>
      <c r="BD58" s="297"/>
      <c r="BE58" s="297"/>
      <c r="BF58" s="297"/>
      <c r="BG58" s="297"/>
      <c r="BH58" s="297"/>
    </row>
    <row r="59" spans="1:60">
      <c r="A59" s="13"/>
      <c r="B59" s="178"/>
      <c r="C59" s="300"/>
      <c r="D59" s="300"/>
      <c r="E59" s="300"/>
      <c r="F59" s="300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150"/>
      <c r="AA59" s="150"/>
      <c r="AB59" s="297"/>
      <c r="AC59" s="297"/>
      <c r="AD59" s="297"/>
      <c r="AE59" s="297"/>
      <c r="AF59" s="297"/>
      <c r="AG59" s="297"/>
      <c r="AH59" s="297"/>
      <c r="AI59" s="297"/>
      <c r="AJ59" s="297"/>
      <c r="AK59" s="297"/>
      <c r="AL59" s="297"/>
      <c r="AM59" s="297"/>
      <c r="AN59" s="297"/>
      <c r="AO59" s="297"/>
      <c r="AP59" s="297"/>
      <c r="AQ59" s="297"/>
      <c r="AR59" s="297"/>
      <c r="AS59" s="297"/>
      <c r="AT59" s="297"/>
      <c r="AU59" s="297"/>
      <c r="AV59" s="297"/>
      <c r="AW59" s="297"/>
      <c r="AX59" s="297"/>
      <c r="AY59" s="297"/>
      <c r="AZ59" s="297"/>
      <c r="BA59" s="297"/>
      <c r="BB59" s="297"/>
      <c r="BC59" s="297"/>
      <c r="BD59" s="297"/>
      <c r="BE59" s="297"/>
      <c r="BF59" s="297"/>
      <c r="BG59" s="297"/>
      <c r="BH59" s="297"/>
    </row>
    <row r="60" spans="1:60">
      <c r="A60" s="13"/>
      <c r="B60" s="178"/>
      <c r="C60" s="300"/>
      <c r="D60" s="300"/>
      <c r="E60" s="300"/>
      <c r="F60" s="300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150"/>
      <c r="AA60" s="150"/>
      <c r="AB60" s="297"/>
      <c r="AC60" s="297"/>
      <c r="AD60" s="297"/>
      <c r="AE60" s="297"/>
      <c r="AF60" s="297"/>
      <c r="AG60" s="297"/>
      <c r="AH60" s="297"/>
      <c r="AI60" s="297"/>
      <c r="AJ60" s="297"/>
      <c r="AK60" s="297"/>
      <c r="AL60" s="297"/>
      <c r="AM60" s="297"/>
      <c r="AN60" s="297"/>
      <c r="AO60" s="297"/>
      <c r="AP60" s="297"/>
      <c r="AQ60" s="297"/>
      <c r="AR60" s="297"/>
      <c r="AS60" s="297"/>
      <c r="AT60" s="297"/>
      <c r="AU60" s="297"/>
      <c r="AV60" s="297"/>
      <c r="AW60" s="297"/>
      <c r="AX60" s="297"/>
      <c r="AY60" s="297"/>
    </row>
    <row r="61" spans="1:60">
      <c r="A61" s="178"/>
      <c r="B61" s="178"/>
      <c r="C61" s="300"/>
      <c r="D61" s="300"/>
      <c r="E61" s="300"/>
      <c r="F61" s="300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150"/>
      <c r="AA61" s="150"/>
      <c r="AB61" s="297"/>
      <c r="AC61" s="297"/>
      <c r="AD61" s="297"/>
      <c r="AE61" s="297"/>
      <c r="AF61" s="297"/>
      <c r="AG61" s="297"/>
      <c r="AH61" s="297"/>
      <c r="AI61" s="297"/>
      <c r="AJ61" s="297"/>
      <c r="AK61" s="297"/>
      <c r="AL61" s="297"/>
      <c r="AM61" s="297"/>
      <c r="AN61" s="297"/>
      <c r="AO61" s="297"/>
      <c r="AP61" s="297"/>
      <c r="AQ61" s="297"/>
      <c r="AR61" s="297"/>
      <c r="AS61" s="297"/>
      <c r="AT61" s="297"/>
      <c r="AU61" s="297"/>
      <c r="AV61" s="297"/>
      <c r="AW61" s="297"/>
      <c r="AX61" s="297"/>
      <c r="AY61" s="297"/>
    </row>
    <row r="62" spans="1:60"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150"/>
      <c r="AA62" s="150"/>
      <c r="AB62" s="297"/>
      <c r="AC62" s="297"/>
      <c r="AD62" s="297"/>
      <c r="AE62" s="297"/>
      <c r="AF62" s="297"/>
      <c r="AG62" s="297"/>
      <c r="AH62" s="297"/>
      <c r="AI62" s="297"/>
      <c r="AJ62" s="297"/>
      <c r="AK62" s="297"/>
      <c r="AL62" s="297"/>
      <c r="AM62" s="297"/>
      <c r="AN62" s="297"/>
      <c r="AO62" s="297"/>
      <c r="AP62" s="297"/>
      <c r="AQ62" s="297"/>
      <c r="AR62" s="297"/>
      <c r="AS62" s="297"/>
      <c r="AT62" s="297"/>
      <c r="AU62" s="297"/>
      <c r="AV62" s="297"/>
      <c r="AW62" s="297"/>
      <c r="AX62" s="297"/>
      <c r="AY62" s="297"/>
    </row>
    <row r="63" spans="1:60"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150"/>
      <c r="AA63" s="150"/>
      <c r="AB63" s="297"/>
      <c r="AC63" s="297"/>
      <c r="AD63" s="297"/>
      <c r="AE63" s="297"/>
      <c r="AF63" s="297"/>
      <c r="AG63" s="297"/>
      <c r="AH63" s="297"/>
      <c r="AI63" s="297"/>
      <c r="AJ63" s="297"/>
      <c r="AK63" s="297"/>
      <c r="AL63" s="297"/>
      <c r="AM63" s="297"/>
      <c r="AN63" s="297"/>
      <c r="AO63" s="297"/>
      <c r="AP63" s="297"/>
      <c r="AQ63" s="297"/>
      <c r="AR63" s="297"/>
      <c r="AS63" s="297"/>
      <c r="AT63" s="297"/>
      <c r="AU63" s="297"/>
      <c r="AV63" s="297"/>
      <c r="AW63" s="297"/>
      <c r="AX63" s="297"/>
      <c r="AY63" s="297"/>
    </row>
    <row r="64" spans="1:60"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150"/>
      <c r="AA64" s="150"/>
      <c r="AB64" s="297"/>
      <c r="AC64" s="297"/>
      <c r="AD64" s="297"/>
      <c r="AE64" s="297"/>
      <c r="AF64" s="297"/>
      <c r="AG64" s="297"/>
      <c r="AH64" s="297"/>
      <c r="AI64" s="297"/>
      <c r="AJ64" s="297"/>
      <c r="AK64" s="297"/>
      <c r="AL64" s="297"/>
      <c r="AM64" s="297"/>
      <c r="AN64" s="297"/>
      <c r="AO64" s="297"/>
      <c r="AP64" s="297"/>
      <c r="AQ64" s="297"/>
      <c r="AR64" s="297"/>
      <c r="AS64" s="297"/>
      <c r="AT64" s="297"/>
      <c r="AU64" s="297"/>
      <c r="AV64" s="297"/>
      <c r="AW64" s="297"/>
      <c r="AX64" s="297"/>
      <c r="AY64" s="297"/>
    </row>
    <row r="65" spans="3:51"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150"/>
      <c r="AA65" s="150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7"/>
      <c r="AN65" s="297"/>
      <c r="AO65" s="297"/>
      <c r="AP65" s="297"/>
      <c r="AQ65" s="297"/>
      <c r="AR65" s="297"/>
      <c r="AS65" s="297"/>
      <c r="AT65" s="297"/>
      <c r="AU65" s="297"/>
      <c r="AV65" s="297"/>
      <c r="AW65" s="297"/>
      <c r="AX65" s="297"/>
      <c r="AY65" s="297"/>
    </row>
    <row r="66" spans="3:51"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M66" s="297"/>
      <c r="N66" s="297"/>
      <c r="O66" s="297"/>
      <c r="P66" s="297"/>
      <c r="Q66" s="297"/>
      <c r="R66" s="297"/>
      <c r="S66" s="297"/>
      <c r="T66" s="297"/>
      <c r="U66" s="297"/>
      <c r="V66" s="297"/>
      <c r="W66" s="297"/>
      <c r="X66" s="297"/>
      <c r="Y66" s="297"/>
      <c r="Z66" s="150"/>
      <c r="AA66" s="150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7"/>
      <c r="AO66" s="297"/>
      <c r="AP66" s="297"/>
      <c r="AQ66" s="297"/>
      <c r="AR66" s="297"/>
      <c r="AS66" s="297"/>
      <c r="AT66" s="297"/>
      <c r="AU66" s="297"/>
      <c r="AV66" s="297"/>
      <c r="AW66" s="297"/>
      <c r="AX66" s="297"/>
      <c r="AY66" s="297"/>
    </row>
    <row r="67" spans="3:51">
      <c r="C67" s="297"/>
      <c r="D67" s="297"/>
      <c r="E67" s="297"/>
      <c r="F67" s="297"/>
      <c r="G67" s="297"/>
      <c r="H67" s="297"/>
      <c r="I67" s="297"/>
      <c r="J67" s="297"/>
      <c r="K67" s="297"/>
      <c r="L67" s="297"/>
      <c r="M67" s="297"/>
      <c r="N67" s="297"/>
      <c r="O67" s="297"/>
      <c r="P67" s="297"/>
      <c r="Q67" s="297"/>
      <c r="R67" s="297"/>
      <c r="S67" s="297"/>
      <c r="T67" s="297"/>
      <c r="U67" s="297"/>
      <c r="V67" s="297"/>
      <c r="W67" s="297"/>
      <c r="X67" s="297"/>
      <c r="Y67" s="297"/>
      <c r="Z67" s="150"/>
      <c r="AA67" s="150"/>
      <c r="AB67" s="297"/>
      <c r="AC67" s="297"/>
      <c r="AD67" s="297"/>
      <c r="AE67" s="297"/>
      <c r="AF67" s="297"/>
      <c r="AG67" s="297"/>
      <c r="AH67" s="297"/>
      <c r="AI67" s="297"/>
      <c r="AJ67" s="297"/>
      <c r="AK67" s="297"/>
      <c r="AL67" s="297"/>
      <c r="AM67" s="297"/>
      <c r="AN67" s="297"/>
      <c r="AO67" s="297"/>
      <c r="AP67" s="297"/>
      <c r="AQ67" s="297"/>
      <c r="AR67" s="297"/>
      <c r="AS67" s="297"/>
      <c r="AT67" s="297"/>
      <c r="AU67" s="297"/>
      <c r="AV67" s="297"/>
      <c r="AW67" s="297"/>
      <c r="AX67" s="297"/>
      <c r="AY67" s="297"/>
    </row>
    <row r="68" spans="3:51">
      <c r="C68" s="297"/>
      <c r="D68" s="297"/>
      <c r="E68" s="297"/>
      <c r="F68" s="297"/>
      <c r="G68" s="297"/>
      <c r="H68" s="297"/>
      <c r="I68" s="297"/>
      <c r="J68" s="297"/>
      <c r="K68" s="297"/>
      <c r="L68" s="297"/>
      <c r="M68" s="297"/>
      <c r="N68" s="297"/>
      <c r="O68" s="297"/>
      <c r="P68" s="297"/>
      <c r="Q68" s="297"/>
      <c r="R68" s="297"/>
      <c r="S68" s="297"/>
      <c r="T68" s="297"/>
      <c r="U68" s="297"/>
      <c r="V68" s="297"/>
      <c r="W68" s="297"/>
      <c r="X68" s="297"/>
      <c r="Y68" s="297"/>
      <c r="Z68" s="150"/>
      <c r="AA68" s="150"/>
      <c r="AB68" s="297"/>
      <c r="AC68" s="297"/>
      <c r="AD68" s="297"/>
      <c r="AE68" s="297"/>
      <c r="AF68" s="297"/>
      <c r="AG68" s="297"/>
      <c r="AH68" s="297"/>
      <c r="AI68" s="297"/>
      <c r="AJ68" s="297"/>
      <c r="AK68" s="297"/>
      <c r="AL68" s="297"/>
      <c r="AM68" s="297"/>
      <c r="AN68" s="297"/>
      <c r="AO68" s="297"/>
      <c r="AP68" s="297"/>
      <c r="AQ68" s="297"/>
      <c r="AR68" s="297"/>
      <c r="AS68" s="297"/>
      <c r="AT68" s="297"/>
      <c r="AU68" s="297"/>
      <c r="AV68" s="297"/>
      <c r="AW68" s="297"/>
      <c r="AX68" s="297"/>
      <c r="AY68" s="297"/>
    </row>
    <row r="69" spans="3:51"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150"/>
      <c r="AA69" s="150"/>
      <c r="AB69" s="297"/>
      <c r="AC69" s="297"/>
      <c r="AD69" s="297"/>
      <c r="AE69" s="297"/>
      <c r="AF69" s="297"/>
      <c r="AG69" s="297"/>
      <c r="AH69" s="297"/>
      <c r="AI69" s="297"/>
      <c r="AJ69" s="297"/>
      <c r="AK69" s="297"/>
      <c r="AL69" s="297"/>
      <c r="AM69" s="297"/>
      <c r="AN69" s="297"/>
      <c r="AO69" s="297"/>
      <c r="AP69" s="297"/>
      <c r="AQ69" s="297"/>
      <c r="AR69" s="297"/>
      <c r="AS69" s="297"/>
      <c r="AT69" s="297"/>
      <c r="AU69" s="297"/>
      <c r="AV69" s="297"/>
      <c r="AW69" s="297"/>
      <c r="AX69" s="297"/>
      <c r="AY69" s="297"/>
    </row>
    <row r="70" spans="3:51"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297"/>
      <c r="S70" s="297"/>
      <c r="T70" s="297"/>
      <c r="U70" s="297"/>
      <c r="V70" s="297"/>
      <c r="W70" s="297"/>
      <c r="X70" s="297"/>
      <c r="Y70" s="297"/>
      <c r="Z70" s="150"/>
      <c r="AA70" s="150"/>
      <c r="AB70" s="297"/>
      <c r="AC70" s="297"/>
      <c r="AD70" s="297"/>
      <c r="AE70" s="297"/>
      <c r="AF70" s="297"/>
      <c r="AG70" s="297"/>
      <c r="AH70" s="297"/>
      <c r="AI70" s="297"/>
      <c r="AJ70" s="297"/>
      <c r="AK70" s="297"/>
      <c r="AL70" s="297"/>
      <c r="AM70" s="297"/>
      <c r="AN70" s="297"/>
      <c r="AO70" s="297"/>
      <c r="AP70" s="297"/>
      <c r="AQ70" s="297"/>
      <c r="AR70" s="297"/>
      <c r="AS70" s="297"/>
      <c r="AT70" s="297"/>
      <c r="AU70" s="297"/>
      <c r="AV70" s="297"/>
      <c r="AW70" s="297"/>
      <c r="AX70" s="297"/>
      <c r="AY70" s="297"/>
    </row>
    <row r="71" spans="3:51"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150"/>
      <c r="AA71" s="150"/>
      <c r="AB71" s="297"/>
      <c r="AC71" s="297"/>
      <c r="AD71" s="297"/>
      <c r="AE71" s="297"/>
      <c r="AF71" s="297"/>
      <c r="AG71" s="297"/>
      <c r="AH71" s="297"/>
      <c r="AI71" s="297"/>
      <c r="AJ71" s="297"/>
      <c r="AK71" s="297"/>
      <c r="AL71" s="297"/>
      <c r="AM71" s="297"/>
      <c r="AN71" s="297"/>
      <c r="AO71" s="297"/>
      <c r="AP71" s="297"/>
      <c r="AQ71" s="297"/>
      <c r="AR71" s="297"/>
      <c r="AS71" s="297"/>
      <c r="AT71" s="297"/>
      <c r="AU71" s="297"/>
      <c r="AV71" s="297"/>
      <c r="AW71" s="297"/>
      <c r="AX71" s="297"/>
      <c r="AY71" s="297"/>
    </row>
    <row r="72" spans="3:51"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150"/>
      <c r="AA72" s="150"/>
      <c r="AB72" s="297"/>
      <c r="AC72" s="297"/>
      <c r="AD72" s="297"/>
      <c r="AE72" s="297"/>
      <c r="AF72" s="297"/>
      <c r="AG72" s="297"/>
      <c r="AH72" s="297"/>
      <c r="AI72" s="297"/>
      <c r="AJ72" s="297"/>
      <c r="AK72" s="297"/>
      <c r="AL72" s="297"/>
      <c r="AM72" s="297"/>
      <c r="AN72" s="297"/>
      <c r="AO72" s="297"/>
      <c r="AP72" s="297"/>
      <c r="AQ72" s="297"/>
      <c r="AR72" s="297"/>
      <c r="AS72" s="297"/>
      <c r="AT72" s="297"/>
      <c r="AU72" s="297"/>
      <c r="AV72" s="297"/>
      <c r="AW72" s="297"/>
      <c r="AX72" s="297"/>
      <c r="AY72" s="297"/>
    </row>
    <row r="73" spans="3:51"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150"/>
      <c r="AA73" s="150"/>
      <c r="AB73" s="297"/>
      <c r="AC73" s="297"/>
      <c r="AD73" s="297"/>
      <c r="AE73" s="297"/>
      <c r="AF73" s="297"/>
      <c r="AG73" s="297"/>
      <c r="AH73" s="297"/>
      <c r="AI73" s="297"/>
      <c r="AJ73" s="297"/>
      <c r="AK73" s="297"/>
      <c r="AL73" s="297"/>
      <c r="AM73" s="297"/>
      <c r="AN73" s="297"/>
      <c r="AO73" s="297"/>
      <c r="AP73" s="297"/>
      <c r="AQ73" s="297"/>
      <c r="AR73" s="297"/>
      <c r="AS73" s="297"/>
      <c r="AT73" s="297"/>
      <c r="AU73" s="297"/>
      <c r="AV73" s="297"/>
      <c r="AW73" s="297"/>
      <c r="AX73" s="297"/>
      <c r="AY73" s="297"/>
    </row>
    <row r="74" spans="3:51"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  <c r="Z74" s="150"/>
      <c r="AA74" s="150"/>
      <c r="AB74" s="297"/>
      <c r="AC74" s="297"/>
      <c r="AD74" s="297"/>
      <c r="AE74" s="297"/>
      <c r="AF74" s="297"/>
      <c r="AG74" s="297"/>
      <c r="AH74" s="297"/>
      <c r="AI74" s="297"/>
      <c r="AJ74" s="297"/>
      <c r="AK74" s="297"/>
      <c r="AL74" s="297"/>
      <c r="AM74" s="297"/>
      <c r="AN74" s="297"/>
      <c r="AO74" s="297"/>
      <c r="AP74" s="297"/>
      <c r="AQ74" s="297"/>
      <c r="AR74" s="297"/>
      <c r="AS74" s="297"/>
      <c r="AT74" s="297"/>
      <c r="AU74" s="297"/>
      <c r="AV74" s="297"/>
      <c r="AW74" s="297"/>
      <c r="AX74" s="297"/>
      <c r="AY74" s="297"/>
    </row>
    <row r="75" spans="3:51"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7"/>
      <c r="P75" s="297"/>
      <c r="Q75" s="297"/>
      <c r="R75" s="297"/>
      <c r="S75" s="297"/>
      <c r="T75" s="297"/>
      <c r="U75" s="297"/>
      <c r="V75" s="297"/>
      <c r="W75" s="297"/>
      <c r="X75" s="297"/>
      <c r="Y75" s="297"/>
      <c r="Z75" s="150"/>
      <c r="AA75" s="150"/>
      <c r="AB75" s="297"/>
      <c r="AC75" s="297"/>
      <c r="AD75" s="297"/>
      <c r="AE75" s="297"/>
      <c r="AF75" s="297"/>
      <c r="AG75" s="297"/>
      <c r="AH75" s="297"/>
      <c r="AI75" s="297"/>
      <c r="AJ75" s="297"/>
      <c r="AK75" s="297"/>
      <c r="AL75" s="297"/>
      <c r="AM75" s="297"/>
      <c r="AN75" s="297"/>
      <c r="AO75" s="297"/>
      <c r="AP75" s="297"/>
      <c r="AQ75" s="297"/>
      <c r="AR75" s="297"/>
      <c r="AS75" s="297"/>
      <c r="AT75" s="297"/>
      <c r="AU75" s="297"/>
      <c r="AV75" s="297"/>
      <c r="AW75" s="297"/>
      <c r="AX75" s="297"/>
      <c r="AY75" s="297"/>
    </row>
    <row r="76" spans="3:51"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150"/>
      <c r="AA76" s="150"/>
      <c r="AB76" s="297"/>
      <c r="AC76" s="297"/>
      <c r="AD76" s="297"/>
      <c r="AE76" s="297"/>
      <c r="AF76" s="297"/>
      <c r="AG76" s="297"/>
      <c r="AH76" s="297"/>
      <c r="AI76" s="297"/>
      <c r="AJ76" s="297"/>
      <c r="AK76" s="297"/>
      <c r="AL76" s="297"/>
      <c r="AM76" s="297"/>
      <c r="AN76" s="297"/>
      <c r="AO76" s="297"/>
      <c r="AP76" s="297"/>
      <c r="AQ76" s="297"/>
      <c r="AR76" s="297"/>
      <c r="AS76" s="297"/>
      <c r="AT76" s="297"/>
      <c r="AU76" s="297"/>
      <c r="AV76" s="297"/>
      <c r="AW76" s="297"/>
      <c r="AX76" s="297"/>
      <c r="AY76" s="297"/>
    </row>
    <row r="77" spans="3:51"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150"/>
      <c r="AA77" s="150"/>
      <c r="AB77" s="297"/>
      <c r="AC77" s="297"/>
      <c r="AD77" s="297"/>
      <c r="AE77" s="297"/>
      <c r="AF77" s="297"/>
      <c r="AG77" s="297"/>
      <c r="AH77" s="297"/>
      <c r="AI77" s="297"/>
      <c r="AJ77" s="297"/>
      <c r="AK77" s="297"/>
      <c r="AL77" s="297"/>
      <c r="AM77" s="297"/>
      <c r="AN77" s="297"/>
      <c r="AO77" s="297"/>
      <c r="AP77" s="297"/>
      <c r="AQ77" s="297"/>
      <c r="AR77" s="297"/>
      <c r="AS77" s="297"/>
      <c r="AT77" s="297"/>
      <c r="AU77" s="297"/>
      <c r="AV77" s="297"/>
      <c r="AW77" s="297"/>
      <c r="AX77" s="297"/>
      <c r="AY77" s="297"/>
    </row>
    <row r="78" spans="3:51"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150"/>
      <c r="AA78" s="150"/>
      <c r="AB78" s="297"/>
      <c r="AC78" s="297"/>
      <c r="AD78" s="297"/>
      <c r="AE78" s="297"/>
      <c r="AF78" s="297"/>
      <c r="AG78" s="297"/>
      <c r="AH78" s="297"/>
      <c r="AI78" s="297"/>
      <c r="AJ78" s="297"/>
      <c r="AK78" s="297"/>
      <c r="AL78" s="297"/>
      <c r="AM78" s="297"/>
      <c r="AN78" s="297"/>
      <c r="AO78" s="297"/>
      <c r="AP78" s="297"/>
      <c r="AQ78" s="297"/>
      <c r="AR78" s="297"/>
      <c r="AS78" s="297"/>
      <c r="AT78" s="297"/>
      <c r="AU78" s="297"/>
      <c r="AV78" s="297"/>
      <c r="AW78" s="297"/>
      <c r="AX78" s="297"/>
      <c r="AY78" s="297"/>
    </row>
    <row r="79" spans="3:51"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150"/>
      <c r="AA79" s="150"/>
      <c r="AB79" s="297"/>
      <c r="AC79" s="297"/>
      <c r="AD79" s="297"/>
      <c r="AE79" s="297"/>
      <c r="AF79" s="297"/>
      <c r="AG79" s="297"/>
      <c r="AH79" s="297"/>
      <c r="AI79" s="297"/>
      <c r="AJ79" s="297"/>
      <c r="AK79" s="297"/>
      <c r="AL79" s="297"/>
      <c r="AM79" s="297"/>
      <c r="AN79" s="297"/>
      <c r="AO79" s="297"/>
      <c r="AP79" s="297"/>
      <c r="AQ79" s="297"/>
      <c r="AR79" s="297"/>
      <c r="AS79" s="297"/>
      <c r="AT79" s="297"/>
      <c r="AU79" s="297"/>
      <c r="AV79" s="297"/>
      <c r="AW79" s="297"/>
      <c r="AX79" s="297"/>
      <c r="AY79" s="297"/>
    </row>
    <row r="80" spans="3:51"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150"/>
      <c r="AA80" s="150"/>
      <c r="AB80" s="297"/>
      <c r="AC80" s="297"/>
      <c r="AD80" s="297"/>
      <c r="AE80" s="297"/>
      <c r="AF80" s="297"/>
      <c r="AG80" s="297"/>
      <c r="AH80" s="297"/>
      <c r="AI80" s="297"/>
      <c r="AJ80" s="297"/>
      <c r="AK80" s="297"/>
      <c r="AL80" s="297"/>
      <c r="AM80" s="297"/>
      <c r="AN80" s="297"/>
      <c r="AO80" s="297"/>
      <c r="AP80" s="297"/>
      <c r="AQ80" s="297"/>
      <c r="AR80" s="297"/>
      <c r="AS80" s="297"/>
      <c r="AT80" s="297"/>
      <c r="AU80" s="297"/>
      <c r="AV80" s="297"/>
      <c r="AW80" s="297"/>
      <c r="AX80" s="297"/>
      <c r="AY80" s="297"/>
    </row>
    <row r="81" spans="3:51"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  <c r="R81" s="297"/>
      <c r="S81" s="297"/>
      <c r="T81" s="297"/>
      <c r="U81" s="297"/>
      <c r="V81" s="297"/>
      <c r="W81" s="297"/>
      <c r="X81" s="297"/>
      <c r="Y81" s="297"/>
      <c r="Z81" s="150"/>
      <c r="AA81" s="150"/>
      <c r="AB81" s="297"/>
      <c r="AC81" s="297"/>
      <c r="AD81" s="297"/>
      <c r="AE81" s="297"/>
      <c r="AF81" s="297"/>
      <c r="AG81" s="297"/>
      <c r="AH81" s="297"/>
      <c r="AI81" s="297"/>
      <c r="AJ81" s="297"/>
      <c r="AK81" s="297"/>
      <c r="AL81" s="297"/>
      <c r="AM81" s="297"/>
      <c r="AN81" s="297"/>
      <c r="AO81" s="297"/>
      <c r="AP81" s="297"/>
      <c r="AQ81" s="297"/>
      <c r="AR81" s="297"/>
      <c r="AS81" s="297"/>
      <c r="AT81" s="297"/>
      <c r="AU81" s="297"/>
      <c r="AV81" s="297"/>
      <c r="AW81" s="297"/>
      <c r="AX81" s="297"/>
      <c r="AY81" s="297"/>
    </row>
    <row r="82" spans="3:51"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150"/>
      <c r="AA82" s="150"/>
      <c r="AB82" s="297"/>
      <c r="AC82" s="297"/>
      <c r="AD82" s="297"/>
      <c r="AE82" s="297"/>
      <c r="AF82" s="297"/>
      <c r="AG82" s="297"/>
      <c r="AH82" s="297"/>
      <c r="AI82" s="297"/>
      <c r="AJ82" s="297"/>
      <c r="AK82" s="297"/>
      <c r="AL82" s="297"/>
      <c r="AM82" s="297"/>
      <c r="AN82" s="297"/>
      <c r="AO82" s="297"/>
      <c r="AP82" s="297"/>
      <c r="AQ82" s="297"/>
      <c r="AR82" s="297"/>
      <c r="AS82" s="297"/>
      <c r="AT82" s="297"/>
      <c r="AU82" s="297"/>
      <c r="AV82" s="297"/>
      <c r="AW82" s="297"/>
      <c r="AX82" s="297"/>
      <c r="AY82" s="297"/>
    </row>
    <row r="83" spans="3:51"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150"/>
      <c r="AA83" s="150"/>
      <c r="AB83" s="297"/>
      <c r="AC83" s="297"/>
      <c r="AD83" s="297"/>
      <c r="AE83" s="297"/>
      <c r="AF83" s="297"/>
      <c r="AG83" s="297"/>
      <c r="AH83" s="297"/>
      <c r="AI83" s="297"/>
      <c r="AJ83" s="297"/>
      <c r="AK83" s="297"/>
      <c r="AL83" s="297"/>
      <c r="AM83" s="297"/>
      <c r="AN83" s="297"/>
      <c r="AO83" s="297"/>
      <c r="AP83" s="297"/>
      <c r="AQ83" s="297"/>
      <c r="AR83" s="297"/>
      <c r="AS83" s="297"/>
      <c r="AT83" s="297"/>
      <c r="AU83" s="297"/>
      <c r="AV83" s="297"/>
      <c r="AW83" s="297"/>
      <c r="AX83" s="297"/>
      <c r="AY83" s="297"/>
    </row>
    <row r="84" spans="3:51"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150"/>
      <c r="AA84" s="150"/>
      <c r="AB84" s="297"/>
      <c r="AC84" s="297"/>
      <c r="AD84" s="297"/>
      <c r="AE84" s="297"/>
      <c r="AF84" s="297"/>
      <c r="AG84" s="297"/>
      <c r="AH84" s="297"/>
      <c r="AI84" s="297"/>
      <c r="AJ84" s="297"/>
      <c r="AK84" s="297"/>
      <c r="AL84" s="297"/>
      <c r="AM84" s="297"/>
      <c r="AN84" s="297"/>
      <c r="AO84" s="297"/>
      <c r="AP84" s="297"/>
      <c r="AQ84" s="297"/>
      <c r="AR84" s="297"/>
      <c r="AS84" s="297"/>
      <c r="AT84" s="297"/>
      <c r="AU84" s="297"/>
      <c r="AV84" s="297"/>
      <c r="AW84" s="297"/>
      <c r="AX84" s="297"/>
      <c r="AY84" s="297"/>
    </row>
    <row r="85" spans="3:51"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150"/>
      <c r="AA85" s="150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7"/>
      <c r="AO85" s="297"/>
      <c r="AP85" s="297"/>
      <c r="AQ85" s="297"/>
      <c r="AR85" s="297"/>
      <c r="AS85" s="297"/>
      <c r="AT85" s="297"/>
      <c r="AU85" s="297"/>
      <c r="AV85" s="297"/>
      <c r="AW85" s="297"/>
      <c r="AX85" s="297"/>
      <c r="AY85" s="297"/>
    </row>
    <row r="86" spans="3:51"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150"/>
      <c r="AA86" s="150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  <c r="AO86" s="297"/>
      <c r="AP86" s="297"/>
      <c r="AQ86" s="297"/>
      <c r="AR86" s="297"/>
      <c r="AS86" s="297"/>
      <c r="AT86" s="297"/>
      <c r="AU86" s="297"/>
      <c r="AV86" s="297"/>
      <c r="AW86" s="297"/>
      <c r="AX86" s="297"/>
      <c r="AY86" s="297"/>
    </row>
    <row r="87" spans="3:51"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150"/>
      <c r="AA87" s="150"/>
      <c r="AB87" s="297"/>
      <c r="AC87" s="297"/>
      <c r="AD87" s="297"/>
      <c r="AE87" s="297"/>
      <c r="AF87" s="297"/>
      <c r="AG87" s="297"/>
      <c r="AH87" s="297"/>
      <c r="AI87" s="297"/>
      <c r="AJ87" s="297"/>
      <c r="AK87" s="297"/>
      <c r="AL87" s="297"/>
      <c r="AM87" s="297"/>
      <c r="AN87" s="297"/>
      <c r="AO87" s="297"/>
      <c r="AP87" s="297"/>
      <c r="AQ87" s="297"/>
      <c r="AR87" s="297"/>
      <c r="AS87" s="297"/>
      <c r="AT87" s="297"/>
      <c r="AU87" s="297"/>
      <c r="AV87" s="297"/>
      <c r="AW87" s="297"/>
      <c r="AX87" s="297"/>
      <c r="AY87" s="297"/>
    </row>
    <row r="88" spans="3:51"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150"/>
      <c r="AA88" s="150"/>
      <c r="AB88" s="297"/>
      <c r="AC88" s="297"/>
      <c r="AD88" s="297"/>
      <c r="AE88" s="297"/>
      <c r="AF88" s="297"/>
      <c r="AG88" s="297"/>
      <c r="AH88" s="297"/>
      <c r="AI88" s="297"/>
      <c r="AJ88" s="297"/>
      <c r="AK88" s="297"/>
      <c r="AL88" s="297"/>
      <c r="AM88" s="297"/>
      <c r="AN88" s="297"/>
      <c r="AO88" s="297"/>
      <c r="AP88" s="297"/>
      <c r="AQ88" s="297"/>
      <c r="AR88" s="297"/>
      <c r="AS88" s="297"/>
      <c r="AT88" s="297"/>
      <c r="AU88" s="297"/>
      <c r="AV88" s="297"/>
      <c r="AW88" s="297"/>
      <c r="AX88" s="297"/>
      <c r="AY88" s="297"/>
    </row>
    <row r="89" spans="3:51"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150"/>
      <c r="AA89" s="150"/>
      <c r="AB89" s="297"/>
      <c r="AC89" s="297"/>
      <c r="AD89" s="297"/>
      <c r="AE89" s="297"/>
      <c r="AF89" s="297"/>
      <c r="AG89" s="297"/>
      <c r="AH89" s="297"/>
      <c r="AI89" s="297"/>
      <c r="AJ89" s="297"/>
      <c r="AK89" s="297"/>
      <c r="AL89" s="297"/>
      <c r="AM89" s="297"/>
      <c r="AN89" s="297"/>
      <c r="AO89" s="297"/>
      <c r="AP89" s="297"/>
      <c r="AQ89" s="297"/>
      <c r="AR89" s="297"/>
      <c r="AS89" s="297"/>
      <c r="AT89" s="297"/>
      <c r="AU89" s="297"/>
      <c r="AV89" s="297"/>
      <c r="AW89" s="297"/>
      <c r="AX89" s="297"/>
      <c r="AY89" s="297"/>
    </row>
    <row r="90" spans="3:51"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150"/>
      <c r="AA90" s="150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  <c r="AM90" s="297"/>
      <c r="AN90" s="297"/>
      <c r="AO90" s="297"/>
      <c r="AP90" s="297"/>
      <c r="AQ90" s="297"/>
      <c r="AR90" s="297"/>
      <c r="AS90" s="297"/>
      <c r="AT90" s="297"/>
      <c r="AU90" s="297"/>
      <c r="AV90" s="297"/>
      <c r="AW90" s="297"/>
      <c r="AX90" s="297"/>
      <c r="AY90" s="29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13" zoomScale="75" zoomScaleNormal="75" workbookViewId="0">
      <selection activeCell="C54" sqref="C54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New Orleans, Louisiana</v>
      </c>
      <c r="Y2" s="6"/>
      <c r="Z2" s="6"/>
    </row>
    <row r="3" spans="1:35">
      <c r="Y3" s="6"/>
      <c r="Z3" s="6"/>
    </row>
    <row r="4" spans="1:35" ht="18.75">
      <c r="A4" s="60" t="s">
        <v>367</v>
      </c>
      <c r="Y4" s="6"/>
      <c r="Z4" s="6"/>
    </row>
    <row r="5" spans="1:35">
      <c r="Y5" s="6"/>
      <c r="Z5" s="6"/>
    </row>
    <row r="6" spans="1:35">
      <c r="B6" s="209">
        <v>0</v>
      </c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5" ht="13.5" thickBot="1">
      <c r="A7" s="122" t="s">
        <v>38</v>
      </c>
      <c r="B7" s="7" t="s">
        <v>239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8411.1006598125932</v>
      </c>
      <c r="D11" s="18">
        <f>IS!D32</f>
        <v>13763.923882853802</v>
      </c>
      <c r="E11" s="18">
        <f>IS!E32</f>
        <v>13738.933882853802</v>
      </c>
      <c r="F11" s="18">
        <f>IS!F32</f>
        <v>13713.444082853803</v>
      </c>
      <c r="G11" s="18">
        <f>IS!G32</f>
        <v>13687.444486853801</v>
      </c>
      <c r="H11" s="18">
        <f>IS!H32</f>
        <v>13660.924898933801</v>
      </c>
      <c r="I11" s="18">
        <f>IS!I32</f>
        <v>13633.874919255402</v>
      </c>
      <c r="J11" s="18">
        <f>IS!J32</f>
        <v>13606.283939983434</v>
      </c>
      <c r="K11" s="18">
        <f>IS!K32</f>
        <v>13578.141141126027</v>
      </c>
      <c r="L11" s="18">
        <f>IS!L32</f>
        <v>13549.43548629147</v>
      </c>
      <c r="M11" s="18">
        <f>IS!M32</f>
        <v>13520.155718360224</v>
      </c>
      <c r="N11" s="18">
        <f>IS!N32</f>
        <v>13490.290355070352</v>
      </c>
      <c r="O11" s="18">
        <f>IS!O32</f>
        <v>13459.827684514683</v>
      </c>
      <c r="P11" s="18">
        <f>IS!P32</f>
        <v>13428.755760547901</v>
      </c>
      <c r="Q11" s="18">
        <f>IS!Q32</f>
        <v>13397.062398101783</v>
      </c>
      <c r="R11" s="18">
        <f>IS!R32</f>
        <v>13364.735168406743</v>
      </c>
      <c r="S11" s="18">
        <f>IS!S32</f>
        <v>13331.761394117802</v>
      </c>
      <c r="T11" s="18">
        <f>IS!T32</f>
        <v>13298.128144343082</v>
      </c>
      <c r="U11" s="18">
        <f>IS!U32</f>
        <v>13263.822229572866</v>
      </c>
      <c r="V11" s="18">
        <f>IS!V32</f>
        <v>13228.830196507248</v>
      </c>
      <c r="W11" s="18">
        <f>IS!W32</f>
        <v>13193.138322780318</v>
      </c>
      <c r="X11" s="18">
        <f>IS!X32</f>
        <v>13156.732611578849</v>
      </c>
      <c r="Y11" s="18">
        <f>IS!Y32</f>
        <v>13119.59878615335</v>
      </c>
      <c r="Z11" s="18">
        <f>IS!Z32</f>
        <v>13081.722284219341</v>
      </c>
      <c r="AA11" s="18">
        <f>IS!AA32</f>
        <v>13043.088252246649</v>
      </c>
      <c r="AB11" s="18">
        <f>IS!AB32</f>
        <v>13003.681539634508</v>
      </c>
      <c r="AC11" s="18">
        <f>IS!AC32</f>
        <v>12963.486692770122</v>
      </c>
      <c r="AD11" s="18">
        <f>IS!AD32</f>
        <v>12922.487948968446</v>
      </c>
      <c r="AE11" s="18">
        <f>IS!AE32</f>
        <v>12880.66923029074</v>
      </c>
      <c r="AF11" s="18">
        <f>IS!AF32</f>
        <v>12838.014137239479</v>
      </c>
      <c r="AG11" s="18">
        <f>IS!AG32</f>
        <v>2387.2197241720214</v>
      </c>
    </row>
    <row r="12" spans="1:35">
      <c r="A12" s="45" t="s">
        <v>79</v>
      </c>
      <c r="B12" s="434">
        <v>0</v>
      </c>
      <c r="C12" s="434">
        <f>-IS!C38</f>
        <v>-4168.8870887143103</v>
      </c>
      <c r="D12" s="434">
        <f>-IS!D38</f>
        <v>-7071.0061162301463</v>
      </c>
      <c r="E12" s="434">
        <f>-IS!E38</f>
        <v>-6990.0526292975828</v>
      </c>
      <c r="F12" s="434">
        <f>-IS!F38</f>
        <v>-6903.4323982797396</v>
      </c>
      <c r="G12" s="434">
        <f>-IS!G38</f>
        <v>-6810.7487510906476</v>
      </c>
      <c r="H12" s="434">
        <f>-IS!H38</f>
        <v>-6711.5772485983198</v>
      </c>
      <c r="I12" s="434">
        <f>-IS!I38</f>
        <v>-6605.4637409315283</v>
      </c>
      <c r="J12" s="434">
        <f>-IS!J38</f>
        <v>-6491.9222877280617</v>
      </c>
      <c r="K12" s="434">
        <f>-IS!K38</f>
        <v>-6370.4329328003523</v>
      </c>
      <c r="L12" s="434">
        <f>-IS!L38</f>
        <v>-6240.4393230277028</v>
      </c>
      <c r="M12" s="434">
        <f>-IS!M38</f>
        <v>-6101.346160570969</v>
      </c>
      <c r="N12" s="434">
        <f>-IS!N38</f>
        <v>-5952.516476742263</v>
      </c>
      <c r="O12" s="434">
        <f>-IS!O38</f>
        <v>-5793.2687150455477</v>
      </c>
      <c r="P12" s="434">
        <f>-IS!P38</f>
        <v>-5622.8736100300621</v>
      </c>
      <c r="Q12" s="434">
        <f>-IS!Q38</f>
        <v>-5440.5508476634923</v>
      </c>
      <c r="R12" s="434">
        <f>-IS!R38</f>
        <v>-5245.4654919312625</v>
      </c>
      <c r="S12" s="434">
        <f>-IS!S38</f>
        <v>-5036.7241612977768</v>
      </c>
      <c r="T12" s="434">
        <f>-IS!T38</f>
        <v>-4813.3709375199478</v>
      </c>
      <c r="U12" s="434">
        <f>-IS!U38</f>
        <v>-4574.3829880776702</v>
      </c>
      <c r="V12" s="434">
        <f>-IS!V38</f>
        <v>-4318.665882174434</v>
      </c>
      <c r="W12" s="434">
        <f>-IS!W38</f>
        <v>-4045.0485788579704</v>
      </c>
      <c r="X12" s="434">
        <f>-(Debt!V44+Debt!W27+Debt!W36)</f>
        <v>0</v>
      </c>
      <c r="Y12" s="434">
        <f>-(Debt!W44+Debt!X27+Debt!X36)</f>
        <v>0</v>
      </c>
      <c r="Z12" s="434">
        <f>-(Debt!X44+Debt!Y27+Debt!Y36)</f>
        <v>0</v>
      </c>
      <c r="AA12" s="434">
        <f>-(Debt!Y44+Debt!Z27+Debt!Z36)</f>
        <v>0</v>
      </c>
      <c r="AB12" s="434">
        <f>-(Debt!Z44+Debt!AA27+Debt!AA36)</f>
        <v>0</v>
      </c>
      <c r="AC12" s="434">
        <f>-(Debt!AA44+Debt!AB27+Debt!AB36)</f>
        <v>0</v>
      </c>
      <c r="AD12" s="434">
        <f>-(Debt!AB44+Debt!AC27+Debt!AC36)</f>
        <v>0</v>
      </c>
      <c r="AE12" s="434">
        <f>-(Debt!AC44+Debt!AD27+Debt!AD36)</f>
        <v>0</v>
      </c>
      <c r="AF12" s="434">
        <f>-(Debt!AD44+Debt!AE27+Debt!AE36)</f>
        <v>0</v>
      </c>
      <c r="AG12" s="434">
        <f>-(Debt!AE44+Debt!AF27+Debt!AF36)</f>
        <v>0</v>
      </c>
      <c r="AH12" s="13"/>
      <c r="AI12" s="13"/>
    </row>
    <row r="13" spans="1:35">
      <c r="A13" s="45" t="s">
        <v>339</v>
      </c>
      <c r="B13" s="64">
        <f>SUM(B11:B12)</f>
        <v>0</v>
      </c>
      <c r="C13" s="64">
        <f t="shared" ref="C13:AG13" si="0">SUM(C11:C12)</f>
        <v>4242.213571098283</v>
      </c>
      <c r="D13" s="64">
        <f t="shared" si="0"/>
        <v>6692.9177666236556</v>
      </c>
      <c r="E13" s="64">
        <f t="shared" si="0"/>
        <v>6748.8812535562192</v>
      </c>
      <c r="F13" s="64">
        <f t="shared" si="0"/>
        <v>6810.0116845740631</v>
      </c>
      <c r="G13" s="64">
        <f t="shared" si="0"/>
        <v>6876.6957357631536</v>
      </c>
      <c r="H13" s="64">
        <f t="shared" si="0"/>
        <v>6949.3476503354814</v>
      </c>
      <c r="I13" s="64">
        <f t="shared" si="0"/>
        <v>7028.4111783238741</v>
      </c>
      <c r="J13" s="64">
        <f t="shared" si="0"/>
        <v>7114.3616522553721</v>
      </c>
      <c r="K13" s="64">
        <f t="shared" si="0"/>
        <v>7207.7082083256746</v>
      </c>
      <c r="L13" s="64">
        <f t="shared" si="0"/>
        <v>7308.9961632637669</v>
      </c>
      <c r="M13" s="64">
        <f t="shared" si="0"/>
        <v>7418.8095577892545</v>
      </c>
      <c r="N13" s="64">
        <f t="shared" si="0"/>
        <v>7537.7738783280893</v>
      </c>
      <c r="O13" s="64">
        <f t="shared" si="0"/>
        <v>7666.5589694691353</v>
      </c>
      <c r="P13" s="64">
        <f t="shared" si="0"/>
        <v>7805.8821505178394</v>
      </c>
      <c r="Q13" s="64">
        <f t="shared" si="0"/>
        <v>7956.5115504382911</v>
      </c>
      <c r="R13" s="64">
        <f t="shared" si="0"/>
        <v>8119.269676475481</v>
      </c>
      <c r="S13" s="64">
        <f t="shared" si="0"/>
        <v>8295.0372328200247</v>
      </c>
      <c r="T13" s="64">
        <f t="shared" si="0"/>
        <v>8484.7572068231348</v>
      </c>
      <c r="U13" s="64">
        <f t="shared" si="0"/>
        <v>8689.4392414951963</v>
      </c>
      <c r="V13" s="64">
        <f t="shared" si="0"/>
        <v>8910.1643143328147</v>
      </c>
      <c r="W13" s="64">
        <f t="shared" si="0"/>
        <v>9148.0897439223481</v>
      </c>
      <c r="X13" s="64">
        <f t="shared" si="0"/>
        <v>13156.732611578849</v>
      </c>
      <c r="Y13" s="64">
        <f t="shared" si="0"/>
        <v>13119.59878615335</v>
      </c>
      <c r="Z13" s="64">
        <f t="shared" si="0"/>
        <v>13081.722284219341</v>
      </c>
      <c r="AA13" s="64">
        <f t="shared" si="0"/>
        <v>13043.088252246649</v>
      </c>
      <c r="AB13" s="64">
        <f t="shared" si="0"/>
        <v>13003.681539634508</v>
      </c>
      <c r="AC13" s="64">
        <f t="shared" si="0"/>
        <v>12963.486692770122</v>
      </c>
      <c r="AD13" s="64">
        <f t="shared" si="0"/>
        <v>12922.487948968446</v>
      </c>
      <c r="AE13" s="64">
        <f t="shared" si="0"/>
        <v>12880.66923029074</v>
      </c>
      <c r="AF13" s="64">
        <f t="shared" si="0"/>
        <v>12838.014137239479</v>
      </c>
      <c r="AG13" s="64">
        <f t="shared" si="0"/>
        <v>2387.2197241720214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340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-3436.6732200113506</v>
      </c>
      <c r="V15" s="18">
        <f>-Taxes!U24-Taxes!U41</f>
        <v>-3523.9699863186279</v>
      </c>
      <c r="W15" s="18">
        <f>-Taxes!V24-Taxes!V41</f>
        <v>-3618.0694937212884</v>
      </c>
      <c r="X15" s="18">
        <f>-Taxes!W24-Taxes!W41</f>
        <v>-3719.4617734450858</v>
      </c>
      <c r="Y15" s="18">
        <f>-Taxes!X24-Taxes!X41</f>
        <v>-3828.6714356885554</v>
      </c>
      <c r="Z15" s="18">
        <f>-Taxes!Y24-Taxes!Y41</f>
        <v>-3946.2600956868591</v>
      </c>
      <c r="AA15" s="18">
        <f>-Taxes!Z24-Taxes!Z41</f>
        <v>-4072.828969710788</v>
      </c>
      <c r="AB15" s="18">
        <f>-Taxes!AA24-Taxes!AA41</f>
        <v>-4209.0216528986539</v>
      </c>
      <c r="AC15" s="18">
        <f>-Taxes!AB24-Taxes!AB41</f>
        <v>-4355.5270916515738</v>
      </c>
      <c r="AD15" s="18">
        <f>-Taxes!AC24-Taxes!AC41</f>
        <v>-4513.082764213942</v>
      </c>
      <c r="AE15" s="18">
        <f>-Taxes!AD24-Taxes!AD41</f>
        <v>-4682.478084014353</v>
      </c>
      <c r="AF15" s="18">
        <f>-Taxes!AE24-Taxes!AE41</f>
        <v>-4864.5580413626467</v>
      </c>
      <c r="AG15" s="18">
        <f>-Taxes!AF24-Taxes!AF41</f>
        <v>-944.14540091003448</v>
      </c>
    </row>
    <row r="16" spans="1:35">
      <c r="A16" s="45" t="s">
        <v>80</v>
      </c>
      <c r="B16" s="64">
        <v>0</v>
      </c>
      <c r="C16" s="23">
        <f>-'Revised Debt'!C19</f>
        <v>-1080.8209203279512</v>
      </c>
      <c r="D16" s="23">
        <f>-'Revised Debt'!D19</f>
        <v>-1156.4783847509079</v>
      </c>
      <c r="E16" s="23">
        <f>-'Revised Debt'!E19</f>
        <v>-1237.4318716834714</v>
      </c>
      <c r="F16" s="23">
        <f>-'Revised Debt'!F19</f>
        <v>-1324.0521027013147</v>
      </c>
      <c r="G16" s="23">
        <f>-'Revised Debt'!G19</f>
        <v>-1416.7357498904066</v>
      </c>
      <c r="H16" s="23">
        <f>-'Revised Debt'!H19</f>
        <v>-1515.9072523827344</v>
      </c>
      <c r="I16" s="23">
        <f>-'Revised Debt'!I19</f>
        <v>-1622.020760049526</v>
      </c>
      <c r="J16" s="23">
        <f>-'Revised Debt'!J19</f>
        <v>-1735.5622132529925</v>
      </c>
      <c r="K16" s="23">
        <f>-'Revised Debt'!K19</f>
        <v>-1857.0515681807019</v>
      </c>
      <c r="L16" s="23">
        <f>-'Revised Debt'!L19</f>
        <v>-1987.0451779533514</v>
      </c>
      <c r="M16" s="23">
        <f>-'Revised Debt'!M19</f>
        <v>-2126.1383404100852</v>
      </c>
      <c r="N16" s="23">
        <f>-'Revised Debt'!N19</f>
        <v>-2274.9680242387913</v>
      </c>
      <c r="O16" s="23">
        <f>-'Revised Debt'!O19</f>
        <v>-2434.2157859355066</v>
      </c>
      <c r="P16" s="23">
        <f>-'Revised Debt'!P19</f>
        <v>-2604.6108909509921</v>
      </c>
      <c r="Q16" s="23">
        <f>-'Revised Debt'!Q19</f>
        <v>-2786.9336533175619</v>
      </c>
      <c r="R16" s="23">
        <f>-'Revised Debt'!R19</f>
        <v>-2982.0190090497917</v>
      </c>
      <c r="S16" s="23">
        <f>-'Revised Debt'!S19</f>
        <v>-3190.7603396832774</v>
      </c>
      <c r="T16" s="23">
        <f>-'Revised Debt'!T19</f>
        <v>-3414.1135634611064</v>
      </c>
      <c r="U16" s="23">
        <f>-'Revised Debt'!U19</f>
        <v>-3653.101512903384</v>
      </c>
      <c r="V16" s="23">
        <f>-'Revised Debt'!V19</f>
        <v>-3908.8186188066202</v>
      </c>
      <c r="W16" s="23">
        <f>-'Revised Debt'!W19</f>
        <v>-4182.4359221230843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341</v>
      </c>
      <c r="B17" s="435">
        <v>0</v>
      </c>
      <c r="C17" s="435">
        <v>0</v>
      </c>
      <c r="D17" s="435">
        <v>0</v>
      </c>
      <c r="E17" s="435">
        <v>0</v>
      </c>
      <c r="F17" s="435">
        <v>0</v>
      </c>
      <c r="G17" s="435">
        <v>0</v>
      </c>
      <c r="H17" s="435">
        <v>0</v>
      </c>
      <c r="I17" s="435">
        <v>0</v>
      </c>
      <c r="J17" s="435">
        <v>0</v>
      </c>
      <c r="K17" s="435">
        <v>0</v>
      </c>
      <c r="L17" s="435">
        <v>0</v>
      </c>
      <c r="M17" s="435">
        <v>0</v>
      </c>
      <c r="N17" s="435">
        <v>0</v>
      </c>
      <c r="O17" s="435">
        <v>0</v>
      </c>
      <c r="P17" s="435">
        <v>0</v>
      </c>
      <c r="Q17" s="435">
        <v>0</v>
      </c>
      <c r="R17" s="435">
        <v>0</v>
      </c>
      <c r="S17" s="435">
        <v>0</v>
      </c>
      <c r="T17" s="435">
        <v>0</v>
      </c>
      <c r="U17" s="435">
        <v>0</v>
      </c>
      <c r="V17" s="435">
        <v>0</v>
      </c>
      <c r="W17" s="435">
        <v>0</v>
      </c>
      <c r="X17" s="435">
        <v>0</v>
      </c>
      <c r="Y17" s="435">
        <v>0</v>
      </c>
      <c r="Z17" s="435">
        <v>0</v>
      </c>
      <c r="AA17" s="435">
        <v>0</v>
      </c>
      <c r="AB17" s="435">
        <v>0</v>
      </c>
      <c r="AC17" s="435">
        <v>0</v>
      </c>
      <c r="AD17" s="435">
        <v>0</v>
      </c>
      <c r="AE17" s="435">
        <v>0</v>
      </c>
      <c r="AF17" s="435">
        <v>0</v>
      </c>
      <c r="AG17" s="435">
        <v>0</v>
      </c>
    </row>
    <row r="18" spans="1:33">
      <c r="A18" s="45" t="s">
        <v>342</v>
      </c>
      <c r="B18" s="64">
        <f>B13+B17+B16+B15</f>
        <v>0</v>
      </c>
      <c r="C18" s="64">
        <f t="shared" ref="C18:AG18" si="1">C13+C17+C16+C15</f>
        <v>3161.3926507703318</v>
      </c>
      <c r="D18" s="64">
        <f t="shared" si="1"/>
        <v>5536.4393818727476</v>
      </c>
      <c r="E18" s="64">
        <f t="shared" si="1"/>
        <v>5511.4493818727478</v>
      </c>
      <c r="F18" s="64">
        <f t="shared" si="1"/>
        <v>5485.9595818727485</v>
      </c>
      <c r="G18" s="64">
        <f t="shared" si="1"/>
        <v>5459.959985872747</v>
      </c>
      <c r="H18" s="64">
        <f t="shared" si="1"/>
        <v>5433.4403979527469</v>
      </c>
      <c r="I18" s="64">
        <f t="shared" si="1"/>
        <v>5406.3904182743481</v>
      </c>
      <c r="J18" s="64">
        <f t="shared" si="1"/>
        <v>5378.7994390023796</v>
      </c>
      <c r="K18" s="64">
        <f t="shared" si="1"/>
        <v>5350.6566401449727</v>
      </c>
      <c r="L18" s="64">
        <f t="shared" si="1"/>
        <v>5321.9509853104155</v>
      </c>
      <c r="M18" s="64">
        <f t="shared" si="1"/>
        <v>5292.6712173791693</v>
      </c>
      <c r="N18" s="64">
        <f t="shared" si="1"/>
        <v>5262.805854089298</v>
      </c>
      <c r="O18" s="64">
        <f t="shared" si="1"/>
        <v>5232.3431835336287</v>
      </c>
      <c r="P18" s="64">
        <f t="shared" si="1"/>
        <v>5201.2712595668472</v>
      </c>
      <c r="Q18" s="64">
        <f t="shared" si="1"/>
        <v>5169.5778971207292</v>
      </c>
      <c r="R18" s="64">
        <f t="shared" si="1"/>
        <v>5137.2506674256892</v>
      </c>
      <c r="S18" s="64">
        <f t="shared" si="1"/>
        <v>5104.2768931367473</v>
      </c>
      <c r="T18" s="64">
        <f t="shared" si="1"/>
        <v>5070.6436433620283</v>
      </c>
      <c r="U18" s="64">
        <f t="shared" si="1"/>
        <v>1599.6645085804616</v>
      </c>
      <c r="V18" s="64">
        <f t="shared" si="1"/>
        <v>1477.3757092075666</v>
      </c>
      <c r="W18" s="64">
        <f t="shared" si="1"/>
        <v>1347.5843280779754</v>
      </c>
      <c r="X18" s="64">
        <f t="shared" si="1"/>
        <v>9437.2708381337634</v>
      </c>
      <c r="Y18" s="64">
        <f t="shared" si="1"/>
        <v>9290.9273504647954</v>
      </c>
      <c r="Z18" s="64">
        <f t="shared" si="1"/>
        <v>9135.4621885324814</v>
      </c>
      <c r="AA18" s="64">
        <f t="shared" si="1"/>
        <v>8970.2592825358606</v>
      </c>
      <c r="AB18" s="64">
        <f t="shared" si="1"/>
        <v>8794.6598867358553</v>
      </c>
      <c r="AC18" s="64">
        <f t="shared" si="1"/>
        <v>8607.9596011185495</v>
      </c>
      <c r="AD18" s="64">
        <f t="shared" si="1"/>
        <v>8409.4051847545052</v>
      </c>
      <c r="AE18" s="64">
        <f t="shared" si="1"/>
        <v>8198.1911462763856</v>
      </c>
      <c r="AF18" s="64">
        <f t="shared" si="1"/>
        <v>7973.4560958768325</v>
      </c>
      <c r="AG18" s="64">
        <f t="shared" si="1"/>
        <v>1443.074323261987</v>
      </c>
    </row>
    <row r="19" spans="1:33">
      <c r="A19" s="324"/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388"/>
      <c r="AB19" s="388"/>
      <c r="AC19" s="388"/>
      <c r="AD19" s="388"/>
      <c r="AE19" s="388"/>
      <c r="AF19" s="388"/>
      <c r="AG19" s="388"/>
    </row>
    <row r="20" spans="1:33">
      <c r="A20" s="436" t="s">
        <v>392</v>
      </c>
      <c r="B20" s="505">
        <v>1</v>
      </c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88"/>
      <c r="AA20" s="388"/>
      <c r="AB20" s="388"/>
      <c r="AC20" s="388"/>
      <c r="AD20" s="388"/>
      <c r="AE20" s="388"/>
      <c r="AF20" s="388"/>
      <c r="AG20" s="388"/>
    </row>
    <row r="21" spans="1:33">
      <c r="B21" s="64">
        <f>$B$20*B18</f>
        <v>0</v>
      </c>
      <c r="C21" s="64">
        <f t="shared" ref="C21:AG21" si="2">$B$20*C18</f>
        <v>3161.3926507703318</v>
      </c>
      <c r="D21" s="64">
        <f t="shared" si="2"/>
        <v>5536.4393818727476</v>
      </c>
      <c r="E21" s="64">
        <f t="shared" si="2"/>
        <v>5511.4493818727478</v>
      </c>
      <c r="F21" s="64">
        <f t="shared" si="2"/>
        <v>5485.9595818727485</v>
      </c>
      <c r="G21" s="64">
        <f t="shared" si="2"/>
        <v>5459.959985872747</v>
      </c>
      <c r="H21" s="64">
        <f t="shared" si="2"/>
        <v>5433.4403979527469</v>
      </c>
      <c r="I21" s="64">
        <f t="shared" si="2"/>
        <v>5406.3904182743481</v>
      </c>
      <c r="J21" s="64">
        <f t="shared" si="2"/>
        <v>5378.7994390023796</v>
      </c>
      <c r="K21" s="64">
        <f t="shared" si="2"/>
        <v>5350.6566401449727</v>
      </c>
      <c r="L21" s="64">
        <f t="shared" si="2"/>
        <v>5321.9509853104155</v>
      </c>
      <c r="M21" s="64">
        <f t="shared" si="2"/>
        <v>5292.6712173791693</v>
      </c>
      <c r="N21" s="64">
        <f t="shared" si="2"/>
        <v>5262.805854089298</v>
      </c>
      <c r="O21" s="64">
        <f t="shared" si="2"/>
        <v>5232.3431835336287</v>
      </c>
      <c r="P21" s="64">
        <f t="shared" si="2"/>
        <v>5201.2712595668472</v>
      </c>
      <c r="Q21" s="64">
        <f t="shared" si="2"/>
        <v>5169.5778971207292</v>
      </c>
      <c r="R21" s="64">
        <f t="shared" si="2"/>
        <v>5137.2506674256892</v>
      </c>
      <c r="S21" s="64">
        <f t="shared" si="2"/>
        <v>5104.2768931367473</v>
      </c>
      <c r="T21" s="64">
        <f t="shared" si="2"/>
        <v>5070.6436433620283</v>
      </c>
      <c r="U21" s="64">
        <f t="shared" si="2"/>
        <v>1599.6645085804616</v>
      </c>
      <c r="V21" s="64">
        <f t="shared" si="2"/>
        <v>1477.3757092075666</v>
      </c>
      <c r="W21" s="64">
        <f t="shared" si="2"/>
        <v>1347.5843280779754</v>
      </c>
      <c r="X21" s="64">
        <f t="shared" si="2"/>
        <v>9437.2708381337634</v>
      </c>
      <c r="Y21" s="64">
        <f t="shared" si="2"/>
        <v>9290.9273504647954</v>
      </c>
      <c r="Z21" s="64">
        <f t="shared" si="2"/>
        <v>9135.4621885324814</v>
      </c>
      <c r="AA21" s="64">
        <f t="shared" si="2"/>
        <v>8970.2592825358606</v>
      </c>
      <c r="AB21" s="64">
        <f t="shared" si="2"/>
        <v>8794.6598867358553</v>
      </c>
      <c r="AC21" s="64">
        <f t="shared" si="2"/>
        <v>8607.9596011185495</v>
      </c>
      <c r="AD21" s="64">
        <f t="shared" si="2"/>
        <v>8409.4051847545052</v>
      </c>
      <c r="AE21" s="64">
        <f t="shared" si="2"/>
        <v>8198.1911462763856</v>
      </c>
      <c r="AF21" s="64">
        <f t="shared" si="2"/>
        <v>7973.4560958768325</v>
      </c>
      <c r="AG21" s="64">
        <f t="shared" si="2"/>
        <v>1443.074323261987</v>
      </c>
    </row>
    <row r="22" spans="1:33">
      <c r="B22" s="388"/>
      <c r="C22" s="388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388"/>
      <c r="O22" s="388"/>
      <c r="P22" s="388"/>
      <c r="Q22" s="388"/>
      <c r="R22" s="388"/>
      <c r="S22" s="388"/>
      <c r="T22" s="388"/>
      <c r="U22" s="388"/>
      <c r="V22" s="388"/>
      <c r="W22" s="388"/>
      <c r="X22" s="388"/>
      <c r="Y22" s="388"/>
      <c r="Z22" s="388"/>
      <c r="AA22" s="388"/>
      <c r="AB22" s="388"/>
      <c r="AC22" s="388"/>
      <c r="AD22" s="388"/>
      <c r="AE22" s="388"/>
      <c r="AF22" s="388"/>
      <c r="AG22" s="388"/>
    </row>
    <row r="23" spans="1:33" hidden="1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388"/>
      <c r="P23" s="388"/>
      <c r="Q23" s="388"/>
      <c r="R23" s="388"/>
      <c r="S23" s="388"/>
      <c r="T23" s="388"/>
      <c r="U23" s="388"/>
      <c r="V23" s="388"/>
      <c r="W23" s="388"/>
      <c r="X23" s="388"/>
      <c r="Y23" s="388"/>
      <c r="Z23" s="388"/>
      <c r="AA23" s="388"/>
      <c r="AB23" s="388"/>
      <c r="AC23" s="388"/>
      <c r="AD23" s="388"/>
    </row>
    <row r="24" spans="1:33" hidden="1">
      <c r="A24" s="437" t="s">
        <v>349</v>
      </c>
      <c r="B24" s="441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-43755.08314685573</v>
      </c>
      <c r="C25" s="18">
        <f t="shared" ref="C25:V25" si="3">+B29</f>
        <v>-43755.08314685573</v>
      </c>
      <c r="D25" s="18">
        <f t="shared" si="3"/>
        <v>-43755.08314685573</v>
      </c>
      <c r="E25" s="18">
        <f t="shared" si="3"/>
        <v>-43755.08314685573</v>
      </c>
      <c r="F25" s="18">
        <f t="shared" si="3"/>
        <v>-43755.08314685573</v>
      </c>
      <c r="G25" s="18">
        <f t="shared" si="3"/>
        <v>-43755.08314685573</v>
      </c>
      <c r="H25" s="18">
        <f t="shared" si="3"/>
        <v>-43755.08314685573</v>
      </c>
      <c r="I25" s="18">
        <f t="shared" si="3"/>
        <v>-43755.08314685573</v>
      </c>
      <c r="J25" s="18">
        <f t="shared" si="3"/>
        <v>-43755.08314685573</v>
      </c>
      <c r="K25" s="18">
        <f t="shared" si="3"/>
        <v>-43755.08314685573</v>
      </c>
      <c r="L25" s="18">
        <f t="shared" si="3"/>
        <v>-43755.08314685573</v>
      </c>
      <c r="M25" s="18">
        <f t="shared" si="3"/>
        <v>-43755.08314685573</v>
      </c>
      <c r="N25" s="18">
        <f t="shared" si="3"/>
        <v>-43755.08314685573</v>
      </c>
      <c r="O25" s="18">
        <f t="shared" si="3"/>
        <v>-43755.08314685573</v>
      </c>
      <c r="P25" s="18">
        <f t="shared" si="3"/>
        <v>-43755.08314685573</v>
      </c>
      <c r="Q25" s="18">
        <f t="shared" si="3"/>
        <v>-43755.08314685573</v>
      </c>
      <c r="R25" s="18">
        <f t="shared" si="3"/>
        <v>-43755.08314685573</v>
      </c>
      <c r="S25" s="18">
        <f t="shared" si="3"/>
        <v>-43755.08314685573</v>
      </c>
      <c r="T25" s="18">
        <f t="shared" si="3"/>
        <v>-43755.08314685573</v>
      </c>
      <c r="U25" s="18">
        <f t="shared" si="3"/>
        <v>-43755.08314685573</v>
      </c>
      <c r="V25" s="18">
        <f t="shared" si="3"/>
        <v>-43755.08314685573</v>
      </c>
      <c r="W25" s="18">
        <f t="shared" ref="W25:AG25" si="4">+V29</f>
        <v>-43755.08314685573</v>
      </c>
      <c r="X25" s="18">
        <f t="shared" si="4"/>
        <v>-43755.08314685573</v>
      </c>
      <c r="Y25" s="18">
        <f t="shared" si="4"/>
        <v>-40443.523949281771</v>
      </c>
      <c r="Z25" s="18">
        <f t="shared" si="4"/>
        <v>-36814.689951716427</v>
      </c>
      <c r="AA25" s="18">
        <f t="shared" si="4"/>
        <v>-32833.28435642425</v>
      </c>
      <c r="AB25" s="18">
        <f t="shared" si="4"/>
        <v>-28459.684883787784</v>
      </c>
      <c r="AC25" s="18">
        <f t="shared" si="4"/>
        <v>-23649.380880782221</v>
      </c>
      <c r="AD25" s="18">
        <f t="shared" si="4"/>
        <v>-18352.334602973184</v>
      </c>
      <c r="AE25" s="18">
        <f t="shared" si="4"/>
        <v>-12512.256262634924</v>
      </c>
      <c r="AF25" s="18">
        <f t="shared" si="4"/>
        <v>-6065.7809931274287</v>
      </c>
      <c r="AG25" s="18">
        <f t="shared" si="4"/>
        <v>1058.4657637115633</v>
      </c>
    </row>
    <row r="26" spans="1:33" hidden="1">
      <c r="A26" s="45" t="s">
        <v>348</v>
      </c>
      <c r="B26" s="18">
        <v>0</v>
      </c>
      <c r="C26" s="18">
        <f>+-B25*$B$24</f>
        <v>6125.7116405598026</v>
      </c>
      <c r="D26" s="18">
        <f t="shared" ref="D26:V26" si="5">+-D25*$B$24</f>
        <v>6125.7116405598026</v>
      </c>
      <c r="E26" s="18">
        <f t="shared" si="5"/>
        <v>6125.7116405598026</v>
      </c>
      <c r="F26" s="18">
        <f t="shared" si="5"/>
        <v>6125.7116405598026</v>
      </c>
      <c r="G26" s="18">
        <f t="shared" si="5"/>
        <v>6125.7116405598026</v>
      </c>
      <c r="H26" s="18">
        <f t="shared" si="5"/>
        <v>6125.7116405598026</v>
      </c>
      <c r="I26" s="18">
        <f t="shared" si="5"/>
        <v>6125.7116405598026</v>
      </c>
      <c r="J26" s="18">
        <f t="shared" si="5"/>
        <v>6125.7116405598026</v>
      </c>
      <c r="K26" s="18">
        <f t="shared" si="5"/>
        <v>6125.7116405598026</v>
      </c>
      <c r="L26" s="18">
        <f t="shared" si="5"/>
        <v>6125.7116405598026</v>
      </c>
      <c r="M26" s="18">
        <f t="shared" si="5"/>
        <v>6125.7116405598026</v>
      </c>
      <c r="N26" s="18">
        <f t="shared" si="5"/>
        <v>6125.7116405598026</v>
      </c>
      <c r="O26" s="18">
        <f t="shared" si="5"/>
        <v>6125.7116405598026</v>
      </c>
      <c r="P26" s="18">
        <f t="shared" si="5"/>
        <v>6125.7116405598026</v>
      </c>
      <c r="Q26" s="18">
        <f t="shared" si="5"/>
        <v>6125.7116405598026</v>
      </c>
      <c r="R26" s="18">
        <f t="shared" si="5"/>
        <v>6125.7116405598026</v>
      </c>
      <c r="S26" s="18">
        <f t="shared" si="5"/>
        <v>6125.7116405598026</v>
      </c>
      <c r="T26" s="18">
        <f t="shared" si="5"/>
        <v>6125.7116405598026</v>
      </c>
      <c r="U26" s="18">
        <f t="shared" si="5"/>
        <v>6125.7116405598026</v>
      </c>
      <c r="V26" s="18">
        <f t="shared" si="5"/>
        <v>6125.7116405598026</v>
      </c>
      <c r="W26" s="18">
        <f t="shared" ref="W26:AG26" si="6">+-W25*$B$24</f>
        <v>6125.7116405598026</v>
      </c>
      <c r="X26" s="18">
        <f t="shared" si="6"/>
        <v>6125.7116405598026</v>
      </c>
      <c r="Y26" s="18">
        <f t="shared" si="6"/>
        <v>5662.0933528994483</v>
      </c>
      <c r="Z26" s="18">
        <f t="shared" si="6"/>
        <v>5154.0565932403006</v>
      </c>
      <c r="AA26" s="18">
        <f t="shared" si="6"/>
        <v>4596.6598098993954</v>
      </c>
      <c r="AB26" s="18">
        <f t="shared" si="6"/>
        <v>3984.3558837302903</v>
      </c>
      <c r="AC26" s="18">
        <f t="shared" si="6"/>
        <v>3310.9133233095113</v>
      </c>
      <c r="AD26" s="18">
        <f t="shared" si="6"/>
        <v>2569.3268444162459</v>
      </c>
      <c r="AE26" s="18">
        <f t="shared" si="6"/>
        <v>1751.7158767688895</v>
      </c>
      <c r="AF26" s="18">
        <f t="shared" si="6"/>
        <v>849.2093390378401</v>
      </c>
      <c r="AG26" s="18">
        <f t="shared" si="6"/>
        <v>-148.18520691961888</v>
      </c>
    </row>
    <row r="27" spans="1:33" hidden="1">
      <c r="A27" s="45" t="s">
        <v>344</v>
      </c>
      <c r="B27" s="18">
        <f>B21</f>
        <v>0</v>
      </c>
      <c r="C27" s="18">
        <f t="shared" ref="C27:AG27" si="7">C21</f>
        <v>3161.3926507703318</v>
      </c>
      <c r="D27" s="18">
        <f t="shared" si="7"/>
        <v>5536.4393818727476</v>
      </c>
      <c r="E27" s="18">
        <f t="shared" si="7"/>
        <v>5511.4493818727478</v>
      </c>
      <c r="F27" s="18">
        <f t="shared" si="7"/>
        <v>5485.9595818727485</v>
      </c>
      <c r="G27" s="18">
        <f t="shared" si="7"/>
        <v>5459.959985872747</v>
      </c>
      <c r="H27" s="18">
        <f t="shared" si="7"/>
        <v>5433.4403979527469</v>
      </c>
      <c r="I27" s="18">
        <f t="shared" si="7"/>
        <v>5406.3904182743481</v>
      </c>
      <c r="J27" s="18">
        <f t="shared" si="7"/>
        <v>5378.7994390023796</v>
      </c>
      <c r="K27" s="18">
        <f t="shared" si="7"/>
        <v>5350.6566401449727</v>
      </c>
      <c r="L27" s="18">
        <f t="shared" si="7"/>
        <v>5321.9509853104155</v>
      </c>
      <c r="M27" s="18">
        <f t="shared" si="7"/>
        <v>5292.6712173791693</v>
      </c>
      <c r="N27" s="18">
        <f t="shared" si="7"/>
        <v>5262.805854089298</v>
      </c>
      <c r="O27" s="18">
        <f t="shared" si="7"/>
        <v>5232.3431835336287</v>
      </c>
      <c r="P27" s="18">
        <f t="shared" si="7"/>
        <v>5201.2712595668472</v>
      </c>
      <c r="Q27" s="18">
        <f t="shared" si="7"/>
        <v>5169.5778971207292</v>
      </c>
      <c r="R27" s="18">
        <f t="shared" si="7"/>
        <v>5137.2506674256892</v>
      </c>
      <c r="S27" s="18">
        <f t="shared" si="7"/>
        <v>5104.2768931367473</v>
      </c>
      <c r="T27" s="18">
        <f t="shared" si="7"/>
        <v>5070.6436433620283</v>
      </c>
      <c r="U27" s="18">
        <f t="shared" si="7"/>
        <v>1599.6645085804616</v>
      </c>
      <c r="V27" s="18">
        <f t="shared" si="7"/>
        <v>1477.3757092075666</v>
      </c>
      <c r="W27" s="18">
        <f t="shared" si="7"/>
        <v>1347.5843280779754</v>
      </c>
      <c r="X27" s="18">
        <f t="shared" si="7"/>
        <v>9437.2708381337634</v>
      </c>
      <c r="Y27" s="18">
        <f t="shared" si="7"/>
        <v>9290.9273504647954</v>
      </c>
      <c r="Z27" s="18">
        <f t="shared" si="7"/>
        <v>9135.4621885324814</v>
      </c>
      <c r="AA27" s="18">
        <f t="shared" si="7"/>
        <v>8970.2592825358606</v>
      </c>
      <c r="AB27" s="18">
        <f t="shared" si="7"/>
        <v>8794.6598867358553</v>
      </c>
      <c r="AC27" s="18">
        <f t="shared" si="7"/>
        <v>8607.9596011185495</v>
      </c>
      <c r="AD27" s="18">
        <f t="shared" si="7"/>
        <v>8409.4051847545052</v>
      </c>
      <c r="AE27" s="18">
        <f t="shared" si="7"/>
        <v>8198.1911462763856</v>
      </c>
      <c r="AF27" s="18">
        <f t="shared" si="7"/>
        <v>7973.4560958768325</v>
      </c>
      <c r="AG27" s="18">
        <f t="shared" si="7"/>
        <v>1443.074323261987</v>
      </c>
    </row>
    <row r="28" spans="1:33" hidden="1">
      <c r="A28" s="45" t="s">
        <v>347</v>
      </c>
      <c r="B28" s="299">
        <v>0</v>
      </c>
      <c r="C28" s="299">
        <f t="shared" ref="C28:V28" si="8">+IF(C27&gt;C26,C27-C26,0)</f>
        <v>0</v>
      </c>
      <c r="D28" s="299">
        <f t="shared" si="8"/>
        <v>0</v>
      </c>
      <c r="E28" s="299">
        <f t="shared" si="8"/>
        <v>0</v>
      </c>
      <c r="F28" s="299">
        <f t="shared" si="8"/>
        <v>0</v>
      </c>
      <c r="G28" s="299">
        <f t="shared" si="8"/>
        <v>0</v>
      </c>
      <c r="H28" s="299">
        <f t="shared" si="8"/>
        <v>0</v>
      </c>
      <c r="I28" s="299">
        <f t="shared" si="8"/>
        <v>0</v>
      </c>
      <c r="J28" s="299">
        <f t="shared" si="8"/>
        <v>0</v>
      </c>
      <c r="K28" s="299">
        <f t="shared" si="8"/>
        <v>0</v>
      </c>
      <c r="L28" s="299">
        <f t="shared" si="8"/>
        <v>0</v>
      </c>
      <c r="M28" s="299">
        <f t="shared" si="8"/>
        <v>0</v>
      </c>
      <c r="N28" s="299">
        <f t="shared" si="8"/>
        <v>0</v>
      </c>
      <c r="O28" s="299">
        <f t="shared" si="8"/>
        <v>0</v>
      </c>
      <c r="P28" s="299">
        <f t="shared" si="8"/>
        <v>0</v>
      </c>
      <c r="Q28" s="299">
        <f t="shared" si="8"/>
        <v>0</v>
      </c>
      <c r="R28" s="299">
        <f t="shared" si="8"/>
        <v>0</v>
      </c>
      <c r="S28" s="299">
        <f t="shared" si="8"/>
        <v>0</v>
      </c>
      <c r="T28" s="299">
        <f t="shared" si="8"/>
        <v>0</v>
      </c>
      <c r="U28" s="299">
        <f t="shared" si="8"/>
        <v>0</v>
      </c>
      <c r="V28" s="299">
        <f t="shared" si="8"/>
        <v>0</v>
      </c>
      <c r="W28" s="299">
        <f t="shared" ref="W28:AG28" si="9">+IF(W27&gt;W26,W27-W26,0)</f>
        <v>0</v>
      </c>
      <c r="X28" s="299">
        <f t="shared" si="9"/>
        <v>3311.5591975739608</v>
      </c>
      <c r="Y28" s="299">
        <f t="shared" si="9"/>
        <v>3628.8339975653471</v>
      </c>
      <c r="Z28" s="299">
        <f t="shared" si="9"/>
        <v>3981.4055952921808</v>
      </c>
      <c r="AA28" s="299">
        <f t="shared" si="9"/>
        <v>4373.5994726364652</v>
      </c>
      <c r="AB28" s="299">
        <f t="shared" si="9"/>
        <v>4810.3040030055654</v>
      </c>
      <c r="AC28" s="299">
        <f t="shared" si="9"/>
        <v>5297.0462778090387</v>
      </c>
      <c r="AD28" s="299">
        <f t="shared" si="9"/>
        <v>5840.0783403382593</v>
      </c>
      <c r="AE28" s="299">
        <f t="shared" si="9"/>
        <v>6446.4752695074958</v>
      </c>
      <c r="AF28" s="299">
        <f t="shared" si="9"/>
        <v>7124.246756838992</v>
      </c>
      <c r="AG28" s="299">
        <f t="shared" si="9"/>
        <v>1591.2595301816059</v>
      </c>
    </row>
    <row r="29" spans="1:33" hidden="1">
      <c r="A29" s="45" t="s">
        <v>57</v>
      </c>
      <c r="B29" s="18">
        <f t="shared" ref="B29:V29" si="10">+B25+B28</f>
        <v>-43755.08314685573</v>
      </c>
      <c r="C29" s="18">
        <f t="shared" si="10"/>
        <v>-43755.08314685573</v>
      </c>
      <c r="D29" s="18">
        <f t="shared" si="10"/>
        <v>-43755.08314685573</v>
      </c>
      <c r="E29" s="18">
        <f t="shared" si="10"/>
        <v>-43755.08314685573</v>
      </c>
      <c r="F29" s="18">
        <f t="shared" si="10"/>
        <v>-43755.08314685573</v>
      </c>
      <c r="G29" s="18">
        <f t="shared" si="10"/>
        <v>-43755.08314685573</v>
      </c>
      <c r="H29" s="18">
        <f t="shared" si="10"/>
        <v>-43755.08314685573</v>
      </c>
      <c r="I29" s="18">
        <f t="shared" si="10"/>
        <v>-43755.08314685573</v>
      </c>
      <c r="J29" s="18">
        <f t="shared" si="10"/>
        <v>-43755.08314685573</v>
      </c>
      <c r="K29" s="18">
        <f t="shared" si="10"/>
        <v>-43755.08314685573</v>
      </c>
      <c r="L29" s="18">
        <f t="shared" si="10"/>
        <v>-43755.08314685573</v>
      </c>
      <c r="M29" s="18">
        <f t="shared" si="10"/>
        <v>-43755.08314685573</v>
      </c>
      <c r="N29" s="18">
        <f t="shared" si="10"/>
        <v>-43755.08314685573</v>
      </c>
      <c r="O29" s="18">
        <f t="shared" si="10"/>
        <v>-43755.08314685573</v>
      </c>
      <c r="P29" s="18">
        <f t="shared" si="10"/>
        <v>-43755.08314685573</v>
      </c>
      <c r="Q29" s="18">
        <f t="shared" si="10"/>
        <v>-43755.08314685573</v>
      </c>
      <c r="R29" s="18">
        <f t="shared" si="10"/>
        <v>-43755.08314685573</v>
      </c>
      <c r="S29" s="18">
        <f t="shared" si="10"/>
        <v>-43755.08314685573</v>
      </c>
      <c r="T29" s="18">
        <f t="shared" si="10"/>
        <v>-43755.08314685573</v>
      </c>
      <c r="U29" s="18">
        <f t="shared" si="10"/>
        <v>-43755.08314685573</v>
      </c>
      <c r="V29" s="18">
        <f t="shared" si="10"/>
        <v>-43755.08314685573</v>
      </c>
      <c r="W29" s="18">
        <f t="shared" ref="W29:AG29" si="11">+W25+W28</f>
        <v>-43755.08314685573</v>
      </c>
      <c r="X29" s="18">
        <f t="shared" si="11"/>
        <v>-40443.523949281771</v>
      </c>
      <c r="Y29" s="18">
        <f t="shared" si="11"/>
        <v>-36814.689951716427</v>
      </c>
      <c r="Z29" s="18">
        <f t="shared" si="11"/>
        <v>-32833.28435642425</v>
      </c>
      <c r="AA29" s="18">
        <f t="shared" si="11"/>
        <v>-28459.684883787784</v>
      </c>
      <c r="AB29" s="18">
        <f t="shared" si="11"/>
        <v>-23649.380880782221</v>
      </c>
      <c r="AC29" s="18">
        <f t="shared" si="11"/>
        <v>-18352.334602973184</v>
      </c>
      <c r="AD29" s="18">
        <f t="shared" si="11"/>
        <v>-12512.256262634924</v>
      </c>
      <c r="AE29" s="18">
        <f t="shared" si="11"/>
        <v>-6065.7809931274287</v>
      </c>
      <c r="AF29" s="18">
        <f t="shared" si="11"/>
        <v>1058.4657637115633</v>
      </c>
      <c r="AG29" s="18">
        <f t="shared" si="11"/>
        <v>2649.7252938931692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37" t="s">
        <v>379</v>
      </c>
    </row>
    <row r="34" spans="1:33">
      <c r="A34" s="437"/>
    </row>
    <row r="35" spans="1:33">
      <c r="A35" s="436" t="s">
        <v>346</v>
      </c>
    </row>
    <row r="36" spans="1:33" s="18" customFormat="1">
      <c r="A36" s="45" t="s">
        <v>345</v>
      </c>
      <c r="B36" s="18">
        <f>-Assumptions!C11*Assumptions!$G$48</f>
        <v>-43755.08314685573</v>
      </c>
    </row>
    <row r="37" spans="1:33" s="18" customFormat="1">
      <c r="A37" s="45" t="s">
        <v>344</v>
      </c>
      <c r="B37" s="442">
        <f>B21*Assumptions!$G$48</f>
        <v>0</v>
      </c>
      <c r="C37" s="299">
        <f>C21*Assumptions!$G$48</f>
        <v>3161.3926507703318</v>
      </c>
      <c r="D37" s="299">
        <f>D21*Assumptions!$G$48</f>
        <v>5536.4393818727476</v>
      </c>
      <c r="E37" s="299">
        <f>E21*Assumptions!$G$48</f>
        <v>5511.4493818727478</v>
      </c>
      <c r="F37" s="299">
        <f>F21*Assumptions!$G$48</f>
        <v>5485.9595818727485</v>
      </c>
      <c r="G37" s="299">
        <f>G21*Assumptions!$G$48</f>
        <v>5459.959985872747</v>
      </c>
      <c r="H37" s="299">
        <f>H21*Assumptions!$G$48</f>
        <v>5433.4403979527469</v>
      </c>
      <c r="I37" s="299">
        <f>I21*Assumptions!$G$48</f>
        <v>5406.3904182743481</v>
      </c>
      <c r="J37" s="299">
        <f>J21*Assumptions!$G$48</f>
        <v>5378.7994390023796</v>
      </c>
      <c r="K37" s="299">
        <f>K21*Assumptions!$G$48</f>
        <v>5350.6566401449727</v>
      </c>
      <c r="L37" s="299">
        <f>L21*Assumptions!$G$48</f>
        <v>5321.9509853104155</v>
      </c>
      <c r="M37" s="299">
        <f>M21*Assumptions!$G$48</f>
        <v>5292.6712173791693</v>
      </c>
      <c r="N37" s="299">
        <f>N21*Assumptions!$G$48</f>
        <v>5262.805854089298</v>
      </c>
      <c r="O37" s="299">
        <f>O21*Assumptions!$G$48</f>
        <v>5232.3431835336287</v>
      </c>
      <c r="P37" s="299">
        <f>P21*Assumptions!$G$48</f>
        <v>5201.2712595668472</v>
      </c>
      <c r="Q37" s="299">
        <f>Q21*Assumptions!$G$48</f>
        <v>5169.5778971207292</v>
      </c>
      <c r="R37" s="299">
        <f>R21*Assumptions!$G$48</f>
        <v>5137.2506674256892</v>
      </c>
      <c r="S37" s="299">
        <f>S21*Assumptions!$G$48</f>
        <v>5104.2768931367473</v>
      </c>
      <c r="T37" s="299">
        <f>T21*Assumptions!$G$48</f>
        <v>5070.6436433620283</v>
      </c>
      <c r="U37" s="299">
        <f>U21*Assumptions!$G$48</f>
        <v>1599.6645085804616</v>
      </c>
      <c r="V37" s="299">
        <f>V21*Assumptions!$G$48</f>
        <v>1477.3757092075666</v>
      </c>
      <c r="W37" s="299">
        <f>W21*Assumptions!$G$48</f>
        <v>1347.5843280779754</v>
      </c>
      <c r="X37" s="299">
        <f>X21*Assumptions!$G$48</f>
        <v>9437.2708381337634</v>
      </c>
      <c r="Y37" s="299">
        <f>Y21*Assumptions!$G$48</f>
        <v>9290.9273504647954</v>
      </c>
      <c r="Z37" s="299">
        <f>Z21*Assumptions!$G$48</f>
        <v>9135.4621885324814</v>
      </c>
      <c r="AA37" s="299">
        <f>AA21*Assumptions!$G$48</f>
        <v>8970.2592825358606</v>
      </c>
      <c r="AB37" s="299">
        <f>AB21*Assumptions!$G$48</f>
        <v>8794.6598867358553</v>
      </c>
      <c r="AC37" s="299">
        <f>AC21*Assumptions!$G$48</f>
        <v>8607.9596011185495</v>
      </c>
      <c r="AD37" s="299">
        <f>AD21*Assumptions!$G$48</f>
        <v>8409.4051847545052</v>
      </c>
      <c r="AE37" s="299">
        <f>AE21*Assumptions!$G$48</f>
        <v>8198.1911462763856</v>
      </c>
      <c r="AF37" s="299">
        <f>AF21*Assumptions!$G$48</f>
        <v>7973.4560958768325</v>
      </c>
      <c r="AG37" s="299">
        <f>AG21*Assumptions!$G$48</f>
        <v>1443.074323261987</v>
      </c>
    </row>
    <row r="38" spans="1:33" s="18" customFormat="1">
      <c r="A38" s="45" t="s">
        <v>343</v>
      </c>
      <c r="B38" s="18">
        <f t="shared" ref="B38:AG38" si="12">SUM(B36:B37)</f>
        <v>-43755.08314685573</v>
      </c>
      <c r="C38" s="18">
        <f t="shared" si="12"/>
        <v>3161.3926507703318</v>
      </c>
      <c r="D38" s="18">
        <f t="shared" si="12"/>
        <v>5536.4393818727476</v>
      </c>
      <c r="E38" s="18">
        <f t="shared" si="12"/>
        <v>5511.4493818727478</v>
      </c>
      <c r="F38" s="18">
        <f t="shared" si="12"/>
        <v>5485.9595818727485</v>
      </c>
      <c r="G38" s="18">
        <f t="shared" si="12"/>
        <v>5459.959985872747</v>
      </c>
      <c r="H38" s="18">
        <f t="shared" si="12"/>
        <v>5433.4403979527469</v>
      </c>
      <c r="I38" s="18">
        <f t="shared" si="12"/>
        <v>5406.3904182743481</v>
      </c>
      <c r="J38" s="18">
        <f t="shared" si="12"/>
        <v>5378.7994390023796</v>
      </c>
      <c r="K38" s="18">
        <f t="shared" si="12"/>
        <v>5350.6566401449727</v>
      </c>
      <c r="L38" s="18">
        <f t="shared" si="12"/>
        <v>5321.9509853104155</v>
      </c>
      <c r="M38" s="18">
        <f t="shared" si="12"/>
        <v>5292.6712173791693</v>
      </c>
      <c r="N38" s="18">
        <f t="shared" si="12"/>
        <v>5262.805854089298</v>
      </c>
      <c r="O38" s="18">
        <f t="shared" si="12"/>
        <v>5232.3431835336287</v>
      </c>
      <c r="P38" s="18">
        <f t="shared" si="12"/>
        <v>5201.2712595668472</v>
      </c>
      <c r="Q38" s="18">
        <f t="shared" si="12"/>
        <v>5169.5778971207292</v>
      </c>
      <c r="R38" s="18">
        <f t="shared" si="12"/>
        <v>5137.2506674256892</v>
      </c>
      <c r="S38" s="18">
        <f t="shared" si="12"/>
        <v>5104.2768931367473</v>
      </c>
      <c r="T38" s="18">
        <f t="shared" si="12"/>
        <v>5070.6436433620283</v>
      </c>
      <c r="U38" s="18">
        <f t="shared" si="12"/>
        <v>1599.6645085804616</v>
      </c>
      <c r="V38" s="18">
        <f t="shared" si="12"/>
        <v>1477.3757092075666</v>
      </c>
      <c r="W38" s="18">
        <f t="shared" si="12"/>
        <v>1347.5843280779754</v>
      </c>
      <c r="X38" s="18">
        <f t="shared" si="12"/>
        <v>9437.2708381337634</v>
      </c>
      <c r="Y38" s="18">
        <f t="shared" si="12"/>
        <v>9290.9273504647954</v>
      </c>
      <c r="Z38" s="18">
        <f t="shared" si="12"/>
        <v>9135.4621885324814</v>
      </c>
      <c r="AA38" s="18">
        <f t="shared" si="12"/>
        <v>8970.2592825358606</v>
      </c>
      <c r="AB38" s="18">
        <f t="shared" si="12"/>
        <v>8794.6598867358553</v>
      </c>
      <c r="AC38" s="18">
        <f t="shared" si="12"/>
        <v>8607.9596011185495</v>
      </c>
      <c r="AD38" s="18">
        <f t="shared" si="12"/>
        <v>8409.4051847545052</v>
      </c>
      <c r="AE38" s="18">
        <f t="shared" si="12"/>
        <v>8198.1911462763856</v>
      </c>
      <c r="AF38" s="18">
        <f t="shared" si="12"/>
        <v>7973.4560958768325</v>
      </c>
      <c r="AG38" s="18">
        <f t="shared" si="12"/>
        <v>1443.074323261987</v>
      </c>
    </row>
    <row r="39" spans="1:33">
      <c r="B39" s="436" t="s">
        <v>1</v>
      </c>
      <c r="C39" s="559">
        <f>XIRR(B38:W38,B8:W8)</f>
        <v>8.7544873356819167E-2</v>
      </c>
    </row>
    <row r="40" spans="1:33">
      <c r="A40" s="45"/>
      <c r="B40" s="555" t="s">
        <v>542</v>
      </c>
      <c r="C40" s="556">
        <f>NPV(0.12,B38:W38)</f>
        <v>-5547.2504610627147</v>
      </c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345</v>
      </c>
      <c r="B42" s="18">
        <f>-Assumptions!C11*Assumptions!$G$48</f>
        <v>-43755.08314685573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344</v>
      </c>
      <c r="B43" s="438">
        <f>B21*Assumptions!$G$48</f>
        <v>0</v>
      </c>
      <c r="C43" s="18">
        <f>C21*Assumptions!$G$48</f>
        <v>3161.3926507703318</v>
      </c>
      <c r="D43" s="18">
        <f>D21*Assumptions!$G$48</f>
        <v>5536.4393818727476</v>
      </c>
      <c r="E43" s="18">
        <f>E21*Assumptions!$G$48</f>
        <v>5511.4493818727478</v>
      </c>
      <c r="F43" s="18">
        <f>F21*Assumptions!$G$48</f>
        <v>5485.9595818727485</v>
      </c>
      <c r="G43" s="18">
        <f>G21*Assumptions!$G$48</f>
        <v>5459.959985872747</v>
      </c>
      <c r="H43" s="18">
        <f>H21*Assumptions!$G$48</f>
        <v>5433.4403979527469</v>
      </c>
      <c r="I43" s="18">
        <f>I21*Assumptions!$G$48</f>
        <v>5406.3904182743481</v>
      </c>
      <c r="J43" s="18">
        <f>J21*Assumptions!$G$48</f>
        <v>5378.7994390023796</v>
      </c>
      <c r="K43" s="18">
        <f>K21*Assumptions!$G$48</f>
        <v>5350.6566401449727</v>
      </c>
      <c r="L43" s="18">
        <f>L21*Assumptions!$G$48</f>
        <v>5321.9509853104155</v>
      </c>
      <c r="M43" s="18">
        <f>M21*Assumptions!$G$48</f>
        <v>5292.6712173791693</v>
      </c>
      <c r="N43" s="18">
        <f>N21*Assumptions!$G$48</f>
        <v>5262.805854089298</v>
      </c>
      <c r="O43" s="18">
        <f>O21*Assumptions!$G$48</f>
        <v>5232.3431835336287</v>
      </c>
      <c r="P43" s="18">
        <f>P21*Assumptions!$G$48</f>
        <v>5201.2712595668472</v>
      </c>
      <c r="Q43" s="18">
        <f>Q21*Assumptions!$G$48</f>
        <v>5169.5778971207292</v>
      </c>
      <c r="R43" s="18">
        <f>R21*Assumptions!$G$48</f>
        <v>5137.2506674256892</v>
      </c>
      <c r="S43" s="18">
        <f>S21*Assumptions!$G$48</f>
        <v>5104.2768931367473</v>
      </c>
      <c r="T43" s="18">
        <f>T21*Assumptions!$G$48</f>
        <v>5070.6436433620283</v>
      </c>
      <c r="U43" s="18">
        <f>U21*Assumptions!$G$48</f>
        <v>1599.6645085804616</v>
      </c>
      <c r="V43" s="18">
        <f>V21*Assumptions!$G$48</f>
        <v>1477.3757092075666</v>
      </c>
      <c r="W43" s="18">
        <f>W21*Assumptions!$G$48</f>
        <v>1347.5843280779754</v>
      </c>
      <c r="X43" s="18">
        <f>X21*Assumptions!$G$48</f>
        <v>9437.2708381337634</v>
      </c>
      <c r="Y43" s="18">
        <f>Y21*Assumptions!$G$48</f>
        <v>9290.9273504647954</v>
      </c>
      <c r="Z43" s="18">
        <f>Z21*Assumptions!$G$48</f>
        <v>9135.4621885324814</v>
      </c>
      <c r="AA43" s="18">
        <f>AA21*Assumptions!$G$48</f>
        <v>8970.2592825358606</v>
      </c>
      <c r="AB43" s="18">
        <f>AB21*Assumptions!$G$48</f>
        <v>8794.6598867358553</v>
      </c>
      <c r="AC43" s="18">
        <f>AC21*Assumptions!$G$48</f>
        <v>8607.9596011185495</v>
      </c>
      <c r="AD43" s="18">
        <f>AD21*Assumptions!$G$48</f>
        <v>8409.4051847545052</v>
      </c>
      <c r="AE43" s="18">
        <f>AE21*Assumptions!$G$48</f>
        <v>8198.1911462763856</v>
      </c>
      <c r="AF43" s="18">
        <f>AF21*Assumptions!$G$48</f>
        <v>7973.4560958768325</v>
      </c>
      <c r="AG43" s="18">
        <f>AG21*Assumptions!$G$48</f>
        <v>1443.074323261987</v>
      </c>
    </row>
    <row r="44" spans="1:33">
      <c r="A44" s="56" t="s">
        <v>119</v>
      </c>
      <c r="B44" s="299">
        <v>0</v>
      </c>
      <c r="C44" s="299">
        <v>0</v>
      </c>
      <c r="D44" s="299">
        <v>0</v>
      </c>
      <c r="E44" s="299">
        <v>0</v>
      </c>
      <c r="F44" s="299">
        <v>0</v>
      </c>
      <c r="G44" s="299">
        <v>0</v>
      </c>
      <c r="H44" s="299">
        <v>0</v>
      </c>
      <c r="I44" s="299">
        <v>0</v>
      </c>
      <c r="J44" s="299">
        <v>0</v>
      </c>
      <c r="K44" s="299">
        <v>0</v>
      </c>
      <c r="L44" s="299">
        <v>0</v>
      </c>
      <c r="M44" s="299">
        <v>0</v>
      </c>
      <c r="N44" s="299">
        <v>0</v>
      </c>
      <c r="O44" s="299">
        <v>0</v>
      </c>
      <c r="P44" s="299">
        <v>0</v>
      </c>
      <c r="Q44" s="299">
        <v>0</v>
      </c>
      <c r="R44" s="299">
        <v>0</v>
      </c>
      <c r="S44" s="299">
        <v>0</v>
      </c>
      <c r="T44" s="299">
        <v>0</v>
      </c>
      <c r="U44" s="299">
        <v>0</v>
      </c>
      <c r="V44" s="299">
        <v>0</v>
      </c>
      <c r="W44" s="299">
        <f>IS!W32*Assumptions!H23</f>
        <v>65965.691613901596</v>
      </c>
      <c r="X44" s="299">
        <v>0</v>
      </c>
      <c r="Y44" s="299">
        <v>0</v>
      </c>
      <c r="Z44" s="299">
        <v>0</v>
      </c>
      <c r="AA44" s="299">
        <v>0</v>
      </c>
      <c r="AB44" s="299">
        <v>0</v>
      </c>
      <c r="AC44" s="299">
        <v>0</v>
      </c>
      <c r="AD44" s="299">
        <v>0</v>
      </c>
      <c r="AE44" s="299">
        <v>0</v>
      </c>
      <c r="AF44" s="299">
        <v>0</v>
      </c>
      <c r="AG44" s="299">
        <f>Assumptions!H23*IS!AF32*Assumptions!G48</f>
        <v>64190.070686197396</v>
      </c>
    </row>
    <row r="45" spans="1:33">
      <c r="A45" s="56" t="s">
        <v>343</v>
      </c>
      <c r="B45" s="18">
        <f t="shared" ref="B45:AG45" si="13">SUM(B42:B44)</f>
        <v>-43755.08314685573</v>
      </c>
      <c r="C45" s="18">
        <f t="shared" si="13"/>
        <v>3161.3926507703318</v>
      </c>
      <c r="D45" s="18">
        <f t="shared" si="13"/>
        <v>5536.4393818727476</v>
      </c>
      <c r="E45" s="18">
        <f t="shared" si="13"/>
        <v>5511.4493818727478</v>
      </c>
      <c r="F45" s="18">
        <f t="shared" si="13"/>
        <v>5485.9595818727485</v>
      </c>
      <c r="G45" s="18">
        <f t="shared" si="13"/>
        <v>5459.959985872747</v>
      </c>
      <c r="H45" s="18">
        <f t="shared" si="13"/>
        <v>5433.4403979527469</v>
      </c>
      <c r="I45" s="18">
        <f t="shared" si="13"/>
        <v>5406.3904182743481</v>
      </c>
      <c r="J45" s="18">
        <f t="shared" si="13"/>
        <v>5378.7994390023796</v>
      </c>
      <c r="K45" s="18">
        <f t="shared" si="13"/>
        <v>5350.6566401449727</v>
      </c>
      <c r="L45" s="18">
        <f t="shared" si="13"/>
        <v>5321.9509853104155</v>
      </c>
      <c r="M45" s="18">
        <f t="shared" si="13"/>
        <v>5292.6712173791693</v>
      </c>
      <c r="N45" s="18">
        <f t="shared" si="13"/>
        <v>5262.805854089298</v>
      </c>
      <c r="O45" s="18">
        <f t="shared" si="13"/>
        <v>5232.3431835336287</v>
      </c>
      <c r="P45" s="18">
        <f t="shared" si="13"/>
        <v>5201.2712595668472</v>
      </c>
      <c r="Q45" s="18">
        <f t="shared" si="13"/>
        <v>5169.5778971207292</v>
      </c>
      <c r="R45" s="18">
        <f t="shared" si="13"/>
        <v>5137.2506674256892</v>
      </c>
      <c r="S45" s="18">
        <f t="shared" si="13"/>
        <v>5104.2768931367473</v>
      </c>
      <c r="T45" s="18">
        <f t="shared" si="13"/>
        <v>5070.6436433620283</v>
      </c>
      <c r="U45" s="18">
        <f t="shared" si="13"/>
        <v>1599.6645085804616</v>
      </c>
      <c r="V45" s="18">
        <f t="shared" si="13"/>
        <v>1477.3757092075666</v>
      </c>
      <c r="W45" s="18">
        <f t="shared" si="13"/>
        <v>67313.275941979577</v>
      </c>
      <c r="X45" s="18">
        <f t="shared" si="13"/>
        <v>9437.2708381337634</v>
      </c>
      <c r="Y45" s="18">
        <f t="shared" si="13"/>
        <v>9290.9273504647954</v>
      </c>
      <c r="Z45" s="18">
        <f t="shared" si="13"/>
        <v>9135.4621885324814</v>
      </c>
      <c r="AA45" s="18">
        <f t="shared" si="13"/>
        <v>8970.2592825358606</v>
      </c>
      <c r="AB45" s="18">
        <f t="shared" si="13"/>
        <v>8794.6598867358553</v>
      </c>
      <c r="AC45" s="18">
        <f t="shared" si="13"/>
        <v>8607.9596011185495</v>
      </c>
      <c r="AD45" s="18">
        <f t="shared" si="13"/>
        <v>8409.4051847545052</v>
      </c>
      <c r="AE45" s="18">
        <f t="shared" si="13"/>
        <v>8198.1911462763856</v>
      </c>
      <c r="AF45" s="18">
        <f t="shared" si="13"/>
        <v>7973.4560958768325</v>
      </c>
      <c r="AG45" s="18">
        <f t="shared" si="13"/>
        <v>65633.145009459389</v>
      </c>
    </row>
    <row r="46" spans="1:33">
      <c r="A46" s="13"/>
      <c r="B46" s="436" t="s">
        <v>1</v>
      </c>
      <c r="C46" s="559">
        <f>XIRR(B45:AG45,B8:AG8)</f>
        <v>0.12451046109199523</v>
      </c>
    </row>
    <row r="47" spans="1:33">
      <c r="A47" s="56"/>
      <c r="B47" s="555" t="s">
        <v>542</v>
      </c>
      <c r="C47" s="557">
        <f>NPV(0.12,B45:AG45)</f>
        <v>5566.1515962731764</v>
      </c>
    </row>
    <row r="48" spans="1:33">
      <c r="A48" s="43" t="str">
        <f>CONCATENATE("With ",Assumptions!H24*100,"% Initial Project Cost")</f>
        <v>With 10% Initial Project Cost</v>
      </c>
    </row>
    <row r="49" spans="1:33" s="18" customFormat="1">
      <c r="A49" s="56" t="s">
        <v>345</v>
      </c>
      <c r="B49" s="18">
        <f>-Assumptions!C11*Assumptions!G48</f>
        <v>-43755.08314685573</v>
      </c>
    </row>
    <row r="50" spans="1:33" s="18" customFormat="1">
      <c r="A50" s="56" t="s">
        <v>344</v>
      </c>
      <c r="B50" s="18">
        <f>+B21*Assumptions!$G$48</f>
        <v>0</v>
      </c>
      <c r="C50" s="18">
        <f>+C21*Assumptions!$G$48</f>
        <v>3161.3926507703318</v>
      </c>
      <c r="D50" s="18">
        <f>+D21*Assumptions!$G$48</f>
        <v>5536.4393818727476</v>
      </c>
      <c r="E50" s="18">
        <f>+E21*Assumptions!$G$48</f>
        <v>5511.4493818727478</v>
      </c>
      <c r="F50" s="18">
        <f>+F21*Assumptions!$G$48</f>
        <v>5485.9595818727485</v>
      </c>
      <c r="G50" s="18">
        <f>+G21*Assumptions!$G$48</f>
        <v>5459.959985872747</v>
      </c>
      <c r="H50" s="18">
        <f>+H21*Assumptions!$G$48</f>
        <v>5433.4403979527469</v>
      </c>
      <c r="I50" s="18">
        <f>+I21*Assumptions!$G$48</f>
        <v>5406.3904182743481</v>
      </c>
      <c r="J50" s="18">
        <f>+J21*Assumptions!$G$48</f>
        <v>5378.7994390023796</v>
      </c>
      <c r="K50" s="18">
        <f>+K21*Assumptions!$G$48</f>
        <v>5350.6566401449727</v>
      </c>
      <c r="L50" s="18">
        <f>+L21*Assumptions!$G$48</f>
        <v>5321.9509853104155</v>
      </c>
      <c r="M50" s="18">
        <f>+M21*Assumptions!$G$48</f>
        <v>5292.6712173791693</v>
      </c>
      <c r="N50" s="18">
        <f>+N21*Assumptions!$G$48</f>
        <v>5262.805854089298</v>
      </c>
      <c r="O50" s="18">
        <f>+O21*Assumptions!$G$48</f>
        <v>5232.3431835336287</v>
      </c>
      <c r="P50" s="18">
        <f>+P21*Assumptions!$G$48</f>
        <v>5201.2712595668472</v>
      </c>
      <c r="Q50" s="18">
        <f>+Q21*Assumptions!$G$48</f>
        <v>5169.5778971207292</v>
      </c>
      <c r="R50" s="18">
        <f>+R21*Assumptions!$G$48</f>
        <v>5137.2506674256892</v>
      </c>
      <c r="S50" s="18">
        <f>+S21*Assumptions!$G$48</f>
        <v>5104.2768931367473</v>
      </c>
      <c r="T50" s="18">
        <f>+T21*Assumptions!$G$48</f>
        <v>5070.6436433620283</v>
      </c>
      <c r="U50" s="18">
        <f>+U21*Assumptions!$G$48</f>
        <v>1599.6645085804616</v>
      </c>
      <c r="V50" s="18">
        <f>+V21*Assumptions!$G$48</f>
        <v>1477.3757092075666</v>
      </c>
      <c r="W50" s="18">
        <f>+W21*Assumptions!$G$48</f>
        <v>1347.5843280779754</v>
      </c>
      <c r="X50" s="18">
        <f>+X21*Assumptions!$G$48</f>
        <v>9437.2708381337634</v>
      </c>
      <c r="Y50" s="18">
        <f>+Y21*Assumptions!$G$48</f>
        <v>9290.9273504647954</v>
      </c>
      <c r="Z50" s="18">
        <f>+Z21*Assumptions!$G$48</f>
        <v>9135.4621885324814</v>
      </c>
      <c r="AA50" s="18">
        <f>+AA21*Assumptions!$G$48</f>
        <v>8970.2592825358606</v>
      </c>
      <c r="AB50" s="18">
        <f>+AB21*Assumptions!$G$48</f>
        <v>8794.6598867358553</v>
      </c>
      <c r="AC50" s="18">
        <f>+AC21*Assumptions!$G$48</f>
        <v>8607.9596011185495</v>
      </c>
      <c r="AD50" s="18">
        <f>+AD21*Assumptions!$G$48</f>
        <v>8409.4051847545052</v>
      </c>
      <c r="AE50" s="18">
        <f>+AE21*Assumptions!$G$48</f>
        <v>8198.1911462763856</v>
      </c>
      <c r="AF50" s="18">
        <f>+AF21*Assumptions!$G$48</f>
        <v>7973.4560958768325</v>
      </c>
      <c r="AG50" s="18">
        <f>+AG21*Assumptions!$G$48</f>
        <v>1443.074323261987</v>
      </c>
    </row>
    <row r="51" spans="1:33" s="18" customFormat="1">
      <c r="A51" s="56" t="s">
        <v>119</v>
      </c>
      <c r="B51" s="299">
        <v>0</v>
      </c>
      <c r="C51" s="299">
        <v>0</v>
      </c>
      <c r="D51" s="299">
        <v>0</v>
      </c>
      <c r="E51" s="299">
        <v>0</v>
      </c>
      <c r="F51" s="299">
        <v>0</v>
      </c>
      <c r="G51" s="299">
        <v>0</v>
      </c>
      <c r="H51" s="299">
        <v>0</v>
      </c>
      <c r="I51" s="299">
        <v>0</v>
      </c>
      <c r="J51" s="299">
        <v>0</v>
      </c>
      <c r="K51" s="299">
        <v>0</v>
      </c>
      <c r="L51" s="299">
        <v>0</v>
      </c>
      <c r="M51" s="299">
        <v>0</v>
      </c>
      <c r="N51" s="299">
        <v>0</v>
      </c>
      <c r="O51" s="299">
        <v>0</v>
      </c>
      <c r="P51" s="299">
        <v>0</v>
      </c>
      <c r="Q51" s="299">
        <v>0</v>
      </c>
      <c r="R51" s="299">
        <v>0</v>
      </c>
      <c r="S51" s="299">
        <v>0</v>
      </c>
      <c r="T51" s="299">
        <v>0</v>
      </c>
      <c r="U51" s="299">
        <v>0</v>
      </c>
      <c r="V51" s="299">
        <v>0</v>
      </c>
      <c r="W51" s="299">
        <f>AG51</f>
        <v>14585.027715618577</v>
      </c>
      <c r="X51" s="299">
        <v>0</v>
      </c>
      <c r="Y51" s="299">
        <v>0</v>
      </c>
      <c r="Z51" s="299">
        <v>0</v>
      </c>
      <c r="AA51" s="299">
        <v>0</v>
      </c>
      <c r="AB51" s="299">
        <v>0</v>
      </c>
      <c r="AC51" s="299">
        <v>0</v>
      </c>
      <c r="AD51" s="299">
        <v>0</v>
      </c>
      <c r="AE51" s="299">
        <v>0</v>
      </c>
      <c r="AF51" s="299">
        <v>0</v>
      </c>
      <c r="AG51" s="299">
        <f>Assumptions!H24*Assumptions!C60*Assumptions!G48</f>
        <v>14585.027715618577</v>
      </c>
    </row>
    <row r="52" spans="1:33" s="18" customFormat="1">
      <c r="A52" s="56" t="s">
        <v>343</v>
      </c>
      <c r="B52" s="18">
        <f>SUM(B49:B51)</f>
        <v>-43755.08314685573</v>
      </c>
      <c r="C52" s="18">
        <f t="shared" ref="C52:AG52" si="14">SUM(C49:C51)</f>
        <v>3161.3926507703318</v>
      </c>
      <c r="D52" s="18">
        <f t="shared" si="14"/>
        <v>5536.4393818727476</v>
      </c>
      <c r="E52" s="18">
        <f t="shared" si="14"/>
        <v>5511.4493818727478</v>
      </c>
      <c r="F52" s="18">
        <f t="shared" si="14"/>
        <v>5485.9595818727485</v>
      </c>
      <c r="G52" s="18">
        <f t="shared" si="14"/>
        <v>5459.959985872747</v>
      </c>
      <c r="H52" s="18">
        <f t="shared" si="14"/>
        <v>5433.4403979527469</v>
      </c>
      <c r="I52" s="18">
        <f t="shared" si="14"/>
        <v>5406.3904182743481</v>
      </c>
      <c r="J52" s="18">
        <f t="shared" si="14"/>
        <v>5378.7994390023796</v>
      </c>
      <c r="K52" s="18">
        <f t="shared" si="14"/>
        <v>5350.6566401449727</v>
      </c>
      <c r="L52" s="18">
        <f t="shared" si="14"/>
        <v>5321.9509853104155</v>
      </c>
      <c r="M52" s="18">
        <f t="shared" si="14"/>
        <v>5292.6712173791693</v>
      </c>
      <c r="N52" s="18">
        <f t="shared" si="14"/>
        <v>5262.805854089298</v>
      </c>
      <c r="O52" s="18">
        <f t="shared" si="14"/>
        <v>5232.3431835336287</v>
      </c>
      <c r="P52" s="18">
        <f t="shared" si="14"/>
        <v>5201.2712595668472</v>
      </c>
      <c r="Q52" s="18">
        <f t="shared" si="14"/>
        <v>5169.5778971207292</v>
      </c>
      <c r="R52" s="18">
        <f t="shared" si="14"/>
        <v>5137.2506674256892</v>
      </c>
      <c r="S52" s="18">
        <f t="shared" si="14"/>
        <v>5104.2768931367473</v>
      </c>
      <c r="T52" s="18">
        <f t="shared" si="14"/>
        <v>5070.6436433620283</v>
      </c>
      <c r="U52" s="18">
        <f t="shared" si="14"/>
        <v>1599.6645085804616</v>
      </c>
      <c r="V52" s="18">
        <f t="shared" si="14"/>
        <v>1477.3757092075666</v>
      </c>
      <c r="W52" s="18">
        <f t="shared" si="14"/>
        <v>15932.612043696552</v>
      </c>
      <c r="X52" s="18">
        <f t="shared" si="14"/>
        <v>9437.2708381337634</v>
      </c>
      <c r="Y52" s="18">
        <f t="shared" si="14"/>
        <v>9290.9273504647954</v>
      </c>
      <c r="Z52" s="18">
        <f t="shared" si="14"/>
        <v>9135.4621885324814</v>
      </c>
      <c r="AA52" s="18">
        <f t="shared" si="14"/>
        <v>8970.2592825358606</v>
      </c>
      <c r="AB52" s="18">
        <f t="shared" si="14"/>
        <v>8794.6598867358553</v>
      </c>
      <c r="AC52" s="18">
        <f t="shared" si="14"/>
        <v>8607.9596011185495</v>
      </c>
      <c r="AD52" s="18">
        <f t="shared" si="14"/>
        <v>8409.4051847545052</v>
      </c>
      <c r="AE52" s="18">
        <f t="shared" si="14"/>
        <v>8198.1911462763856</v>
      </c>
      <c r="AF52" s="18">
        <f t="shared" si="14"/>
        <v>7973.4560958768325</v>
      </c>
      <c r="AG52" s="18">
        <f t="shared" si="14"/>
        <v>16028.102038880563</v>
      </c>
    </row>
    <row r="53" spans="1:33">
      <c r="A53" s="13"/>
      <c r="B53" s="436" t="s">
        <v>1</v>
      </c>
      <c r="C53" s="559">
        <f>XIRR(B52:AG52,B8:AG8)</f>
        <v>0.11093313097953797</v>
      </c>
    </row>
    <row r="54" spans="1:33">
      <c r="A54" s="56"/>
      <c r="B54" s="555" t="s">
        <v>542</v>
      </c>
      <c r="C54" s="557">
        <f>NPV(0.12,B52:AG52)</f>
        <v>-5.0753052554292867E-14</v>
      </c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345</v>
      </c>
      <c r="B56" s="18">
        <f>-Assumptions!C11*Assumptions!G48</f>
        <v>-43755.08314685573</v>
      </c>
    </row>
    <row r="57" spans="1:33" s="18" customFormat="1">
      <c r="A57" s="56" t="s">
        <v>344</v>
      </c>
      <c r="B57" s="438">
        <f>B21*Assumptions!$G$48</f>
        <v>0</v>
      </c>
      <c r="C57" s="18">
        <f>C21*Assumptions!$G$48</f>
        <v>3161.3926507703318</v>
      </c>
      <c r="D57" s="18">
        <f>D21*Assumptions!$G$48</f>
        <v>5536.4393818727476</v>
      </c>
      <c r="E57" s="18">
        <f>E21*Assumptions!$G$48</f>
        <v>5511.4493818727478</v>
      </c>
      <c r="F57" s="18">
        <f>F21*Assumptions!$G$48</f>
        <v>5485.9595818727485</v>
      </c>
      <c r="G57" s="18">
        <f>G21*Assumptions!$G$48</f>
        <v>5459.959985872747</v>
      </c>
      <c r="H57" s="18">
        <f>H21*Assumptions!$G$48</f>
        <v>5433.4403979527469</v>
      </c>
      <c r="I57" s="18">
        <f>I21*Assumptions!$G$48</f>
        <v>5406.3904182743481</v>
      </c>
      <c r="J57" s="18">
        <f>J21*Assumptions!$G$48</f>
        <v>5378.7994390023796</v>
      </c>
      <c r="K57" s="18">
        <f>K21*Assumptions!$G$48</f>
        <v>5350.6566401449727</v>
      </c>
      <c r="L57" s="18">
        <f>L21*Assumptions!$G$48</f>
        <v>5321.9509853104155</v>
      </c>
      <c r="M57" s="18">
        <f>M21*Assumptions!$G$48</f>
        <v>5292.6712173791693</v>
      </c>
      <c r="N57" s="18">
        <f>N21*Assumptions!$G$48</f>
        <v>5262.805854089298</v>
      </c>
      <c r="O57" s="18">
        <f>O21*Assumptions!$G$48</f>
        <v>5232.3431835336287</v>
      </c>
      <c r="P57" s="18">
        <f>P21*Assumptions!$G$48</f>
        <v>5201.2712595668472</v>
      </c>
      <c r="Q57" s="18">
        <f>Q21*Assumptions!$G$48</f>
        <v>5169.5778971207292</v>
      </c>
      <c r="R57" s="18">
        <f>R21*Assumptions!$G$48</f>
        <v>5137.2506674256892</v>
      </c>
      <c r="S57" s="18">
        <f>S21*Assumptions!$G$48</f>
        <v>5104.2768931367473</v>
      </c>
      <c r="T57" s="18">
        <f>T21*Assumptions!$G$48</f>
        <v>5070.6436433620283</v>
      </c>
      <c r="U57" s="18">
        <f>U21*Assumptions!$G$48</f>
        <v>1599.6645085804616</v>
      </c>
      <c r="V57" s="18">
        <f>V21*Assumptions!$G$48</f>
        <v>1477.3757092075666</v>
      </c>
      <c r="W57" s="18">
        <f>W21*Assumptions!$G$48</f>
        <v>1347.5843280779754</v>
      </c>
      <c r="X57" s="18">
        <f>X21*Assumptions!$G$48</f>
        <v>9437.2708381337634</v>
      </c>
      <c r="Y57" s="18">
        <f>Y21*Assumptions!$G$48</f>
        <v>9290.9273504647954</v>
      </c>
      <c r="Z57" s="18">
        <f>Z21*Assumptions!$G$48</f>
        <v>9135.4621885324814</v>
      </c>
      <c r="AA57" s="18">
        <f>AA21*Assumptions!$G$48</f>
        <v>8970.2592825358606</v>
      </c>
      <c r="AB57" s="18">
        <f>AB21*Assumptions!$G$48</f>
        <v>8794.6598867358553</v>
      </c>
      <c r="AC57" s="18">
        <f>AC21*Assumptions!$G$48</f>
        <v>8607.9596011185495</v>
      </c>
      <c r="AD57" s="18">
        <f>AD21*Assumptions!$G$48</f>
        <v>8409.4051847545052</v>
      </c>
      <c r="AE57" s="18">
        <f>AE21*Assumptions!$G$48</f>
        <v>8198.1911462763856</v>
      </c>
      <c r="AF57" s="18">
        <f>AF21*Assumptions!$G$48</f>
        <v>7973.4560958768325</v>
      </c>
      <c r="AG57" s="18">
        <f>AG21*Assumptions!$G$48</f>
        <v>1443.074323261987</v>
      </c>
    </row>
    <row r="58" spans="1:33" s="18" customFormat="1">
      <c r="A58" s="56" t="s">
        <v>119</v>
      </c>
      <c r="B58" s="299">
        <v>0</v>
      </c>
      <c r="C58" s="299">
        <v>0</v>
      </c>
      <c r="D58" s="299">
        <v>0</v>
      </c>
      <c r="E58" s="299">
        <v>0</v>
      </c>
      <c r="F58" s="299">
        <v>0</v>
      </c>
      <c r="G58" s="299">
        <v>0</v>
      </c>
      <c r="H58" s="299">
        <v>0</v>
      </c>
      <c r="I58" s="299">
        <v>0</v>
      </c>
      <c r="J58" s="299">
        <v>0</v>
      </c>
      <c r="K58" s="299">
        <v>0</v>
      </c>
      <c r="L58" s="299">
        <v>0</v>
      </c>
      <c r="M58" s="299">
        <v>0</v>
      </c>
      <c r="N58" s="299">
        <v>0</v>
      </c>
      <c r="O58" s="299">
        <v>0</v>
      </c>
      <c r="P58" s="299">
        <v>0</v>
      </c>
      <c r="Q58" s="299">
        <v>0</v>
      </c>
      <c r="R58" s="299">
        <v>0</v>
      </c>
      <c r="S58" s="299">
        <v>0</v>
      </c>
      <c r="T58" s="299">
        <v>0</v>
      </c>
      <c r="U58" s="299">
        <v>0</v>
      </c>
      <c r="V58" s="299">
        <v>0</v>
      </c>
      <c r="W58" s="299">
        <f>AG58</f>
        <v>54600</v>
      </c>
      <c r="X58" s="299">
        <v>0</v>
      </c>
      <c r="Y58" s="299">
        <v>0</v>
      </c>
      <c r="Z58" s="299">
        <v>0</v>
      </c>
      <c r="AA58" s="299">
        <v>0</v>
      </c>
      <c r="AB58" s="299">
        <v>0</v>
      </c>
      <c r="AC58" s="299">
        <v>0</v>
      </c>
      <c r="AD58" s="299">
        <v>0</v>
      </c>
      <c r="AE58" s="299">
        <v>0</v>
      </c>
      <c r="AF58" s="299">
        <v>0</v>
      </c>
      <c r="AG58" s="299">
        <f>Assumptions!H25*Assumptions!H68*Assumptions!G48</f>
        <v>54600</v>
      </c>
    </row>
    <row r="59" spans="1:33" s="18" customFormat="1" ht="12" customHeight="1">
      <c r="A59" s="56" t="s">
        <v>343</v>
      </c>
      <c r="B59" s="18">
        <f>SUM(B56:B58)</f>
        <v>-43755.08314685573</v>
      </c>
      <c r="C59" s="18">
        <f t="shared" ref="C59:AG59" si="15">SUM(C56:C58)</f>
        <v>3161.3926507703318</v>
      </c>
      <c r="D59" s="18">
        <f t="shared" si="15"/>
        <v>5536.4393818727476</v>
      </c>
      <c r="E59" s="18">
        <f t="shared" si="15"/>
        <v>5511.4493818727478</v>
      </c>
      <c r="F59" s="18">
        <f t="shared" si="15"/>
        <v>5485.9595818727485</v>
      </c>
      <c r="G59" s="18">
        <f t="shared" si="15"/>
        <v>5459.959985872747</v>
      </c>
      <c r="H59" s="18">
        <f t="shared" si="15"/>
        <v>5433.4403979527469</v>
      </c>
      <c r="I59" s="18">
        <f t="shared" si="15"/>
        <v>5406.3904182743481</v>
      </c>
      <c r="J59" s="18">
        <f t="shared" si="15"/>
        <v>5378.7994390023796</v>
      </c>
      <c r="K59" s="18">
        <f t="shared" si="15"/>
        <v>5350.6566401449727</v>
      </c>
      <c r="L59" s="18">
        <f t="shared" si="15"/>
        <v>5321.9509853104155</v>
      </c>
      <c r="M59" s="18">
        <f t="shared" si="15"/>
        <v>5292.6712173791693</v>
      </c>
      <c r="N59" s="18">
        <f t="shared" si="15"/>
        <v>5262.805854089298</v>
      </c>
      <c r="O59" s="18">
        <f t="shared" si="15"/>
        <v>5232.3431835336287</v>
      </c>
      <c r="P59" s="18">
        <f t="shared" si="15"/>
        <v>5201.2712595668472</v>
      </c>
      <c r="Q59" s="18">
        <f t="shared" si="15"/>
        <v>5169.5778971207292</v>
      </c>
      <c r="R59" s="18">
        <f t="shared" si="15"/>
        <v>5137.2506674256892</v>
      </c>
      <c r="S59" s="18">
        <f t="shared" si="15"/>
        <v>5104.2768931367473</v>
      </c>
      <c r="T59" s="18">
        <f t="shared" si="15"/>
        <v>5070.6436433620283</v>
      </c>
      <c r="U59" s="18">
        <f t="shared" si="15"/>
        <v>1599.6645085804616</v>
      </c>
      <c r="V59" s="18">
        <f t="shared" si="15"/>
        <v>1477.3757092075666</v>
      </c>
      <c r="W59" s="18">
        <f t="shared" si="15"/>
        <v>55947.584328077974</v>
      </c>
      <c r="X59" s="18">
        <f t="shared" si="15"/>
        <v>9437.2708381337634</v>
      </c>
      <c r="Y59" s="18">
        <f t="shared" si="15"/>
        <v>9290.9273504647954</v>
      </c>
      <c r="Z59" s="18">
        <f t="shared" si="15"/>
        <v>9135.4621885324814</v>
      </c>
      <c r="AA59" s="18">
        <f t="shared" si="15"/>
        <v>8970.2592825358606</v>
      </c>
      <c r="AB59" s="18">
        <f t="shared" si="15"/>
        <v>8794.6598867358553</v>
      </c>
      <c r="AC59" s="18">
        <f t="shared" si="15"/>
        <v>8607.9596011185495</v>
      </c>
      <c r="AD59" s="18">
        <f t="shared" si="15"/>
        <v>8409.4051847545052</v>
      </c>
      <c r="AE59" s="18">
        <f t="shared" si="15"/>
        <v>8198.1911462763856</v>
      </c>
      <c r="AF59" s="18">
        <f t="shared" si="15"/>
        <v>7973.4560958768325</v>
      </c>
      <c r="AG59" s="18">
        <f t="shared" si="15"/>
        <v>56043.074323261986</v>
      </c>
    </row>
    <row r="60" spans="1:33">
      <c r="A60" s="13"/>
      <c r="B60" s="436" t="s">
        <v>1</v>
      </c>
      <c r="C60" s="559">
        <f>XIRR(B59:AG59,B8:AG8)</f>
        <v>0.12198099493980408</v>
      </c>
    </row>
    <row r="61" spans="1:33">
      <c r="A61" s="56"/>
      <c r="B61" s="555" t="s">
        <v>542</v>
      </c>
      <c r="C61" s="557">
        <f>NPV(0.12,B59:AG59)</f>
        <v>4371.6832194517474</v>
      </c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E68" sqref="E68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New Orleans, Louisiana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06" t="s">
        <v>394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/>
    </row>
    <row r="7" spans="1:40" ht="13.5" thickBot="1">
      <c r="A7" s="122" t="s">
        <v>38</v>
      </c>
      <c r="B7" s="211">
        <f>IS!C7</f>
        <v>2001</v>
      </c>
      <c r="C7" s="211">
        <f>B7+1</f>
        <v>2002</v>
      </c>
      <c r="D7" s="211">
        <f t="shared" ref="D7:AF7" si="0">C7+1</f>
        <v>2003</v>
      </c>
      <c r="E7" s="211">
        <f t="shared" si="0"/>
        <v>2004</v>
      </c>
      <c r="F7" s="211">
        <f t="shared" si="0"/>
        <v>2005</v>
      </c>
      <c r="G7" s="211">
        <f t="shared" si="0"/>
        <v>2006</v>
      </c>
      <c r="H7" s="211">
        <f t="shared" si="0"/>
        <v>2007</v>
      </c>
      <c r="I7" s="211">
        <f t="shared" si="0"/>
        <v>2008</v>
      </c>
      <c r="J7" s="211">
        <f t="shared" si="0"/>
        <v>2009</v>
      </c>
      <c r="K7" s="211">
        <f t="shared" si="0"/>
        <v>2010</v>
      </c>
      <c r="L7" s="211">
        <f t="shared" si="0"/>
        <v>2011</v>
      </c>
      <c r="M7" s="211">
        <f t="shared" si="0"/>
        <v>2012</v>
      </c>
      <c r="N7" s="211">
        <f t="shared" si="0"/>
        <v>2013</v>
      </c>
      <c r="O7" s="211">
        <f t="shared" si="0"/>
        <v>2014</v>
      </c>
      <c r="P7" s="211">
        <f t="shared" si="0"/>
        <v>2015</v>
      </c>
      <c r="Q7" s="211">
        <f t="shared" si="0"/>
        <v>2016</v>
      </c>
      <c r="R7" s="211">
        <f t="shared" si="0"/>
        <v>2017</v>
      </c>
      <c r="S7" s="211">
        <f t="shared" si="0"/>
        <v>2018</v>
      </c>
      <c r="T7" s="211">
        <f t="shared" si="0"/>
        <v>2019</v>
      </c>
      <c r="U7" s="211">
        <f t="shared" si="0"/>
        <v>2020</v>
      </c>
      <c r="V7" s="211">
        <f t="shared" si="0"/>
        <v>2021</v>
      </c>
      <c r="W7" s="211">
        <f t="shared" si="0"/>
        <v>2022</v>
      </c>
      <c r="X7" s="211">
        <f t="shared" si="0"/>
        <v>2023</v>
      </c>
      <c r="Y7" s="211">
        <f t="shared" si="0"/>
        <v>2024</v>
      </c>
      <c r="Z7" s="211">
        <f t="shared" si="0"/>
        <v>2025</v>
      </c>
      <c r="AA7" s="211">
        <f t="shared" si="0"/>
        <v>2026</v>
      </c>
      <c r="AB7" s="211">
        <f t="shared" si="0"/>
        <v>2027</v>
      </c>
      <c r="AC7" s="211">
        <f t="shared" si="0"/>
        <v>2028</v>
      </c>
      <c r="AD7" s="211">
        <f t="shared" si="0"/>
        <v>2029</v>
      </c>
      <c r="AE7" s="211">
        <f t="shared" si="0"/>
        <v>2030</v>
      </c>
      <c r="AF7" s="211">
        <f t="shared" si="0"/>
        <v>2031</v>
      </c>
      <c r="AG7"/>
      <c r="AH7" s="11"/>
    </row>
    <row r="8" spans="1:40" s="50" customFormat="1">
      <c r="A8" s="384"/>
      <c r="B8" s="383">
        <f>IS!C8</f>
        <v>37256</v>
      </c>
      <c r="C8" s="383">
        <f>IS!D8</f>
        <v>37621</v>
      </c>
      <c r="D8" s="383">
        <f>IS!E8</f>
        <v>37986</v>
      </c>
      <c r="E8" s="383">
        <f>IS!F8</f>
        <v>38352</v>
      </c>
      <c r="F8" s="383">
        <f>IS!G8</f>
        <v>38717</v>
      </c>
      <c r="G8" s="383">
        <f>IS!H8</f>
        <v>39082</v>
      </c>
      <c r="H8" s="383">
        <f>IS!I8</f>
        <v>39447</v>
      </c>
      <c r="I8" s="383">
        <f>IS!J8</f>
        <v>39813</v>
      </c>
      <c r="J8" s="383">
        <f>IS!K8</f>
        <v>40178</v>
      </c>
      <c r="K8" s="383">
        <f>IS!L8</f>
        <v>40543</v>
      </c>
      <c r="L8" s="383">
        <f>IS!M8</f>
        <v>40908</v>
      </c>
      <c r="M8" s="383">
        <f>IS!N8</f>
        <v>41274</v>
      </c>
      <c r="N8" s="383">
        <f>IS!O8</f>
        <v>41639</v>
      </c>
      <c r="O8" s="383">
        <f>IS!P8</f>
        <v>42004</v>
      </c>
      <c r="P8" s="383">
        <f>IS!Q8</f>
        <v>42369</v>
      </c>
      <c r="Q8" s="383">
        <f>IS!R8</f>
        <v>42735</v>
      </c>
      <c r="R8" s="383">
        <f>IS!S8</f>
        <v>43100</v>
      </c>
      <c r="S8" s="383">
        <f>IS!T8</f>
        <v>43465</v>
      </c>
      <c r="T8" s="383">
        <f>IS!U8</f>
        <v>43830</v>
      </c>
      <c r="U8" s="383">
        <f>IS!V8</f>
        <v>44196</v>
      </c>
      <c r="V8" s="383">
        <f>IS!W8</f>
        <v>44561</v>
      </c>
      <c r="W8" s="383">
        <f>IS!X8</f>
        <v>44926</v>
      </c>
      <c r="X8" s="383">
        <f>IS!Y8</f>
        <v>45291</v>
      </c>
      <c r="Y8" s="383">
        <f>IS!Z8</f>
        <v>45657</v>
      </c>
      <c r="Z8" s="383">
        <f>IS!AA8</f>
        <v>46022</v>
      </c>
      <c r="AA8" s="383">
        <f>IS!AB8</f>
        <v>46387</v>
      </c>
      <c r="AB8" s="383">
        <f>IS!AC8</f>
        <v>46752</v>
      </c>
      <c r="AC8" s="383">
        <f>IS!AD8</f>
        <v>47118</v>
      </c>
      <c r="AD8" s="383">
        <f>IS!AE8</f>
        <v>47483</v>
      </c>
      <c r="AE8" s="383">
        <f>IS!AF8</f>
        <v>47848</v>
      </c>
      <c r="AF8" s="38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77" t="s">
        <v>376</v>
      </c>
      <c r="B11" s="378">
        <f>B29+B38</f>
        <v>5274.1737743906833</v>
      </c>
      <c r="C11" s="378">
        <f t="shared" ref="C11:AF11" si="1">C29+C38</f>
        <v>13469.297142687505</v>
      </c>
      <c r="D11" s="378">
        <f t="shared" si="1"/>
        <v>13745.164266415446</v>
      </c>
      <c r="E11" s="378">
        <f t="shared" si="1"/>
        <v>13729.140517394859</v>
      </c>
      <c r="F11" s="378">
        <f t="shared" si="1"/>
        <v>13684.585134603156</v>
      </c>
      <c r="G11" s="378">
        <f t="shared" si="1"/>
        <v>13667.536631812487</v>
      </c>
      <c r="H11" s="378">
        <f t="shared" si="1"/>
        <v>13640.618886791661</v>
      </c>
      <c r="I11" s="378">
        <f t="shared" si="1"/>
        <v>13622.431233898926</v>
      </c>
      <c r="J11" s="378">
        <f t="shared" si="1"/>
        <v>13575.889117922243</v>
      </c>
      <c r="K11" s="378">
        <f t="shared" si="1"/>
        <v>13556.59223859269</v>
      </c>
      <c r="L11" s="378">
        <f t="shared" si="1"/>
        <v>13527.455605707466</v>
      </c>
      <c r="M11" s="378">
        <f t="shared" si="1"/>
        <v>13506.925673672373</v>
      </c>
      <c r="N11" s="378">
        <f t="shared" si="1"/>
        <v>13458.233053802922</v>
      </c>
      <c r="O11" s="378">
        <f t="shared" si="1"/>
        <v>13436.502459399893</v>
      </c>
      <c r="P11" s="451">
        <f t="shared" si="1"/>
        <v>13404.964030930816</v>
      </c>
      <c r="Q11" s="378">
        <f t="shared" si="1"/>
        <v>13381.898740624334</v>
      </c>
      <c r="R11" s="378">
        <f t="shared" si="1"/>
        <v>13330.878346181151</v>
      </c>
      <c r="S11" s="378">
        <f t="shared" si="1"/>
        <v>13306.513420314313</v>
      </c>
      <c r="T11" s="378">
        <f t="shared" si="1"/>
        <v>13272.375211063523</v>
      </c>
      <c r="U11" s="378">
        <f t="shared" si="1"/>
        <v>13246.565567426969</v>
      </c>
      <c r="V11" s="378">
        <f t="shared" si="1"/>
        <v>13193.025514923946</v>
      </c>
      <c r="W11" s="378">
        <f t="shared" si="1"/>
        <v>13165.809103960586</v>
      </c>
      <c r="X11" s="378">
        <f t="shared" si="1"/>
        <v>13128.856808382723</v>
      </c>
      <c r="Y11" s="378">
        <f t="shared" si="1"/>
        <v>13100.076588443295</v>
      </c>
      <c r="Z11" s="378">
        <f t="shared" si="1"/>
        <v>13043.809177024094</v>
      </c>
      <c r="AA11" s="378">
        <f t="shared" si="1"/>
        <v>13013.506226888494</v>
      </c>
      <c r="AB11" s="378">
        <f t="shared" si="1"/>
        <v>12973.507873769189</v>
      </c>
      <c r="AC11" s="378">
        <f t="shared" si="1"/>
        <v>12941.512206505799</v>
      </c>
      <c r="AD11" s="378">
        <f t="shared" si="1"/>
        <v>12882.292614083864</v>
      </c>
      <c r="AE11" s="378">
        <f t="shared" si="1"/>
        <v>12848.648694685136</v>
      </c>
      <c r="AF11" s="451">
        <f t="shared" si="1"/>
        <v>5587.9300981139195</v>
      </c>
      <c r="AG11"/>
      <c r="AN11" s="511">
        <f>IF(MONTH(C23)=MONTH(Assumptions!G34),1,2)</f>
        <v>1</v>
      </c>
    </row>
    <row r="12" spans="1:40">
      <c r="A12" s="379" t="s">
        <v>0</v>
      </c>
      <c r="B12" s="375">
        <v>1.3</v>
      </c>
      <c r="C12" s="375">
        <v>1.3</v>
      </c>
      <c r="D12" s="375">
        <v>1.3</v>
      </c>
      <c r="E12" s="375">
        <v>1.3</v>
      </c>
      <c r="F12" s="375">
        <v>1.3</v>
      </c>
      <c r="G12" s="375">
        <v>1.3</v>
      </c>
      <c r="H12" s="375">
        <v>1.3</v>
      </c>
      <c r="I12" s="375">
        <v>1.3</v>
      </c>
      <c r="J12" s="375">
        <v>1.3</v>
      </c>
      <c r="K12" s="375">
        <v>1.3</v>
      </c>
      <c r="L12" s="375">
        <v>1.3</v>
      </c>
      <c r="M12" s="375">
        <v>1.3</v>
      </c>
      <c r="N12" s="375">
        <v>1.3</v>
      </c>
      <c r="O12" s="375">
        <v>1.3</v>
      </c>
      <c r="P12" s="375">
        <v>1.3</v>
      </c>
      <c r="Q12" s="375">
        <v>1.3</v>
      </c>
      <c r="R12" s="375">
        <v>1.3</v>
      </c>
      <c r="S12" s="375">
        <v>1.3</v>
      </c>
      <c r="T12" s="375">
        <v>1.3</v>
      </c>
      <c r="U12" s="375">
        <v>1.3</v>
      </c>
      <c r="V12" s="375">
        <v>1.3</v>
      </c>
      <c r="W12" s="375">
        <v>1.3</v>
      </c>
      <c r="X12" s="375">
        <v>1.3</v>
      </c>
      <c r="Y12" s="375">
        <v>1.3</v>
      </c>
      <c r="Z12" s="375">
        <v>1.3</v>
      </c>
      <c r="AA12" s="375">
        <v>1.3</v>
      </c>
      <c r="AB12" s="375">
        <v>1.3</v>
      </c>
      <c r="AC12" s="375">
        <v>1.3</v>
      </c>
      <c r="AD12" s="375">
        <v>1.3</v>
      </c>
      <c r="AE12" s="375">
        <v>1.3</v>
      </c>
      <c r="AF12" s="375">
        <v>1.3</v>
      </c>
      <c r="AG12"/>
      <c r="AN12" s="511">
        <f>IF(AN11=1,6,15)</f>
        <v>6</v>
      </c>
    </row>
    <row r="13" spans="1:40">
      <c r="A13" s="380" t="s">
        <v>311</v>
      </c>
      <c r="B13" s="296">
        <f>B11/B12</f>
        <v>4057.0567495312948</v>
      </c>
      <c r="C13" s="296">
        <f t="shared" ref="C13:AF13" si="2">C11/C12</f>
        <v>10360.997802067312</v>
      </c>
      <c r="D13" s="296">
        <f t="shared" si="2"/>
        <v>10573.203281858036</v>
      </c>
      <c r="E13" s="296">
        <f t="shared" si="2"/>
        <v>10560.877321072969</v>
      </c>
      <c r="F13" s="296">
        <f t="shared" si="2"/>
        <v>10526.603949694734</v>
      </c>
      <c r="G13" s="296">
        <f t="shared" si="2"/>
        <v>10513.489716778835</v>
      </c>
      <c r="H13" s="296">
        <f t="shared" si="2"/>
        <v>10492.783759070508</v>
      </c>
      <c r="I13" s="296">
        <f t="shared" si="2"/>
        <v>10478.793256845327</v>
      </c>
      <c r="J13" s="296">
        <f t="shared" si="2"/>
        <v>10442.991629170956</v>
      </c>
      <c r="K13" s="296">
        <f t="shared" si="2"/>
        <v>10428.14787584053</v>
      </c>
      <c r="L13" s="296">
        <f t="shared" si="2"/>
        <v>10405.735081313434</v>
      </c>
      <c r="M13" s="296">
        <f t="shared" si="2"/>
        <v>10389.942825901824</v>
      </c>
      <c r="N13" s="296">
        <f t="shared" si="2"/>
        <v>10352.486964463786</v>
      </c>
      <c r="O13" s="296">
        <f t="shared" si="2"/>
        <v>10335.771122615302</v>
      </c>
      <c r="P13" s="381">
        <f t="shared" si="2"/>
        <v>10311.510793023705</v>
      </c>
      <c r="Q13" s="296">
        <f t="shared" si="2"/>
        <v>10293.768262018719</v>
      </c>
      <c r="R13" s="296">
        <f t="shared" si="2"/>
        <v>10254.521804754731</v>
      </c>
      <c r="S13" s="296">
        <f t="shared" si="2"/>
        <v>10235.779554087932</v>
      </c>
      <c r="T13" s="296">
        <f t="shared" si="2"/>
        <v>10209.519393125787</v>
      </c>
      <c r="U13" s="296">
        <f t="shared" si="2"/>
        <v>10189.665821097668</v>
      </c>
      <c r="V13" s="296">
        <f t="shared" si="2"/>
        <v>10148.481165326111</v>
      </c>
      <c r="W13" s="296">
        <f t="shared" si="2"/>
        <v>10127.545464585066</v>
      </c>
      <c r="X13" s="296">
        <f t="shared" si="2"/>
        <v>10099.120621832864</v>
      </c>
      <c r="Y13" s="296">
        <f t="shared" si="2"/>
        <v>10076.981991110226</v>
      </c>
      <c r="Z13" s="296">
        <f t="shared" si="2"/>
        <v>10033.69936694161</v>
      </c>
      <c r="AA13" s="296">
        <f t="shared" si="2"/>
        <v>10010.389405298842</v>
      </c>
      <c r="AB13" s="296">
        <f t="shared" si="2"/>
        <v>9979.6214413609141</v>
      </c>
      <c r="AC13" s="296">
        <f t="shared" si="2"/>
        <v>9955.009389619845</v>
      </c>
      <c r="AD13" s="296">
        <f t="shared" si="2"/>
        <v>9909.455856987588</v>
      </c>
      <c r="AE13" s="296">
        <f t="shared" si="2"/>
        <v>9883.5759189885666</v>
      </c>
      <c r="AF13" s="381">
        <f t="shared" si="2"/>
        <v>4298.4077677799378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1"/>
      <c r="C16" s="65"/>
      <c r="AG16"/>
    </row>
    <row r="17" spans="1:33">
      <c r="A17" s="53"/>
      <c r="B17" s="221"/>
      <c r="C17" s="513"/>
      <c r="AG17"/>
    </row>
    <row r="18" spans="1:33">
      <c r="A18" s="53"/>
      <c r="B18" s="221"/>
      <c r="AG18"/>
    </row>
    <row r="19" spans="1:33">
      <c r="A19" s="11" t="s">
        <v>335</v>
      </c>
      <c r="B19" s="387">
        <v>84092.230613083506</v>
      </c>
      <c r="S19" s="18"/>
      <c r="AF19" s="65"/>
      <c r="AG19"/>
    </row>
    <row r="20" spans="1:33">
      <c r="A20" s="11" t="s">
        <v>334</v>
      </c>
      <c r="B20" s="392">
        <f>HLOOKUP(Assumptions!G34,B23:AF39,AN12)</f>
        <v>0</v>
      </c>
      <c r="AF20" s="51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2">
        <v>36982</v>
      </c>
      <c r="C23" s="382">
        <v>37347</v>
      </c>
      <c r="D23" s="382">
        <v>37712</v>
      </c>
      <c r="E23" s="382">
        <v>38078</v>
      </c>
      <c r="F23" s="382">
        <v>38443</v>
      </c>
      <c r="G23" s="382">
        <v>38808</v>
      </c>
      <c r="H23" s="382">
        <v>39173</v>
      </c>
      <c r="I23" s="382">
        <v>39539</v>
      </c>
      <c r="J23" s="382">
        <v>39904</v>
      </c>
      <c r="K23" s="382">
        <v>40269</v>
      </c>
      <c r="L23" s="382">
        <v>40634</v>
      </c>
      <c r="M23" s="382">
        <v>41000</v>
      </c>
      <c r="N23" s="382">
        <v>41365</v>
      </c>
      <c r="O23" s="382">
        <v>41730</v>
      </c>
      <c r="P23" s="382">
        <v>42095</v>
      </c>
      <c r="Q23" s="382">
        <v>42461</v>
      </c>
      <c r="R23" s="382">
        <v>42826</v>
      </c>
      <c r="S23" s="382">
        <v>43191</v>
      </c>
      <c r="T23" s="382">
        <v>43556</v>
      </c>
      <c r="U23" s="382">
        <v>43922</v>
      </c>
      <c r="V23" s="382">
        <v>44287</v>
      </c>
      <c r="W23" s="382">
        <v>44652</v>
      </c>
      <c r="X23" s="382">
        <v>45017</v>
      </c>
      <c r="Y23" s="382">
        <v>45383</v>
      </c>
      <c r="Z23" s="382">
        <v>45748</v>
      </c>
      <c r="AA23" s="382">
        <v>46113</v>
      </c>
      <c r="AB23" s="382">
        <v>46478</v>
      </c>
      <c r="AC23" s="382">
        <v>46844</v>
      </c>
      <c r="AD23" s="382">
        <v>47209</v>
      </c>
      <c r="AE23" s="382">
        <v>47574</v>
      </c>
      <c r="AF23" s="382">
        <v>47939</v>
      </c>
      <c r="AG23" s="514">
        <v>47969</v>
      </c>
    </row>
    <row r="24" spans="1:33">
      <c r="A24" s="48" t="s">
        <v>54</v>
      </c>
      <c r="B24"/>
      <c r="C24" s="48">
        <f>B45</f>
        <v>101031.81153177662</v>
      </c>
      <c r="D24" s="48">
        <f t="shared" ref="D24:AF24" si="3">C45</f>
        <v>97683.740146451586</v>
      </c>
      <c r="E24" s="48">
        <f t="shared" si="3"/>
        <v>93882.522366488993</v>
      </c>
      <c r="F24" s="48">
        <f t="shared" si="3"/>
        <v>89828.245649563396</v>
      </c>
      <c r="G24" s="48">
        <f t="shared" si="3"/>
        <v>85510.503775701247</v>
      </c>
      <c r="H24" s="48">
        <f t="shared" si="3"/>
        <v>80903.008762611731</v>
      </c>
      <c r="I24" s="48">
        <f t="shared" si="3"/>
        <v>75988.414264300314</v>
      </c>
      <c r="J24" s="48">
        <f t="shared" si="3"/>
        <v>70742.267120938865</v>
      </c>
      <c r="K24" s="48">
        <f t="shared" si="3"/>
        <v>65151.148167625259</v>
      </c>
      <c r="L24" s="48">
        <f t="shared" si="3"/>
        <v>59180.397653441039</v>
      </c>
      <c r="M24" s="48">
        <f t="shared" si="3"/>
        <v>52807.186581802278</v>
      </c>
      <c r="N24" s="48">
        <f t="shared" si="3"/>
        <v>45999.217767459413</v>
      </c>
      <c r="O24" s="48">
        <f t="shared" si="3"/>
        <v>38739.089422188765</v>
      </c>
      <c r="P24" s="48">
        <f t="shared" si="3"/>
        <v>30981.138042148021</v>
      </c>
      <c r="Q24" s="48">
        <f t="shared" si="3"/>
        <v>22695.312694923952</v>
      </c>
      <c r="R24" s="48">
        <f t="shared" si="3"/>
        <v>13838.997196860557</v>
      </c>
      <c r="S24" s="48">
        <f t="shared" si="3"/>
        <v>4389.529006307599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312</v>
      </c>
      <c r="B25"/>
      <c r="C25" s="373">
        <v>0</v>
      </c>
      <c r="D25" s="373">
        <v>0</v>
      </c>
      <c r="E25" s="373">
        <v>0</v>
      </c>
      <c r="F25" s="373">
        <v>0</v>
      </c>
      <c r="G25" s="373">
        <v>0</v>
      </c>
      <c r="H25" s="373">
        <v>0</v>
      </c>
      <c r="I25" s="373">
        <v>0</v>
      </c>
      <c r="J25" s="373">
        <v>0</v>
      </c>
      <c r="K25" s="373">
        <v>0</v>
      </c>
      <c r="L25" s="373">
        <v>0</v>
      </c>
      <c r="M25" s="373">
        <v>0</v>
      </c>
      <c r="N25" s="373">
        <v>0</v>
      </c>
      <c r="O25" s="373">
        <v>0</v>
      </c>
      <c r="P25" s="373">
        <v>0</v>
      </c>
      <c r="Q25" s="373">
        <v>0</v>
      </c>
      <c r="R25" s="373">
        <v>0</v>
      </c>
      <c r="S25" s="373">
        <v>0</v>
      </c>
      <c r="T25" s="373">
        <v>0</v>
      </c>
      <c r="U25" s="373">
        <v>0</v>
      </c>
      <c r="V25" s="373">
        <v>0</v>
      </c>
      <c r="W25" s="373">
        <v>0</v>
      </c>
      <c r="X25" s="373">
        <v>0</v>
      </c>
      <c r="Y25" s="373">
        <v>0</v>
      </c>
      <c r="Z25" s="373">
        <v>0</v>
      </c>
      <c r="AA25" s="373">
        <v>0</v>
      </c>
      <c r="AB25" s="373">
        <v>0</v>
      </c>
      <c r="AC25" s="373">
        <v>0</v>
      </c>
      <c r="AD25" s="373">
        <v>0</v>
      </c>
      <c r="AE25" s="373">
        <v>0</v>
      </c>
      <c r="AF25" s="373">
        <v>0</v>
      </c>
      <c r="AG25"/>
    </row>
    <row r="26" spans="1:33">
      <c r="A26" s="48" t="s">
        <v>55</v>
      </c>
      <c r="B26"/>
      <c r="C26" s="48">
        <f t="shared" ref="C26:AF26" si="4">C24-C28</f>
        <v>1655.2803326762369</v>
      </c>
      <c r="D26" s="48">
        <f t="shared" si="4"/>
        <v>1877.0376697898464</v>
      </c>
      <c r="E26" s="48">
        <f t="shared" si="4"/>
        <v>1990.0737576968386</v>
      </c>
      <c r="F26" s="48">
        <f t="shared" si="4"/>
        <v>2132.2103435888566</v>
      </c>
      <c r="G26" s="48">
        <f t="shared" si="4"/>
        <v>2272.0768635882268</v>
      </c>
      <c r="H26" s="48">
        <f t="shared" si="4"/>
        <v>2422.5443956019008</v>
      </c>
      <c r="I26" s="48">
        <f t="shared" si="4"/>
        <v>2576.1787576708157</v>
      </c>
      <c r="J26" s="48">
        <f t="shared" si="4"/>
        <v>2755.673188785353</v>
      </c>
      <c r="K26" s="48">
        <f t="shared" si="4"/>
        <v>2940.031122425622</v>
      </c>
      <c r="L26" s="48">
        <f t="shared" si="4"/>
        <v>3137.2284554379876</v>
      </c>
      <c r="M26" s="48">
        <f t="shared" si="4"/>
        <v>3344.2018664299831</v>
      </c>
      <c r="N26" s="48">
        <f t="shared" si="4"/>
        <v>3572.8751346187273</v>
      </c>
      <c r="O26" s="48">
        <f t="shared" si="4"/>
        <v>3815.7321387359189</v>
      </c>
      <c r="P26" s="48">
        <f t="shared" si="4"/>
        <v>4074.3863590955116</v>
      </c>
      <c r="Q26" s="48">
        <f t="shared" si="4"/>
        <v>4351.4660013298308</v>
      </c>
      <c r="R26" s="48">
        <f t="shared" si="4"/>
        <v>4644.8829154227642</v>
      </c>
      <c r="S26" s="48">
        <f t="shared" si="4"/>
        <v>4389.529006307599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56</v>
      </c>
      <c r="B27"/>
      <c r="C27" s="376">
        <f t="shared" ref="C27:AF27" si="5">C24*(C23-B41)/(C41-B41)*$E$64</f>
        <v>1763.2127108422383</v>
      </c>
      <c r="D27" s="376">
        <f t="shared" si="5"/>
        <v>1704.7819855695793</v>
      </c>
      <c r="E27" s="376">
        <f t="shared" si="5"/>
        <v>1651.9219782518828</v>
      </c>
      <c r="F27" s="376">
        <f t="shared" si="5"/>
        <v>1567.6874651718322</v>
      </c>
      <c r="G27" s="376">
        <f t="shared" si="5"/>
        <v>1492.3339974005942</v>
      </c>
      <c r="H27" s="376">
        <f t="shared" si="5"/>
        <v>1411.9237419666758</v>
      </c>
      <c r="I27" s="376">
        <f t="shared" si="5"/>
        <v>1337.0639012625518</v>
      </c>
      <c r="J27" s="376">
        <f t="shared" si="5"/>
        <v>1234.5979220832344</v>
      </c>
      <c r="K27" s="376">
        <f t="shared" si="5"/>
        <v>1137.0214077473227</v>
      </c>
      <c r="L27" s="376">
        <f t="shared" si="5"/>
        <v>1032.819542609368</v>
      </c>
      <c r="M27" s="376">
        <f t="shared" si="5"/>
        <v>929.17563275083785</v>
      </c>
      <c r="N27" s="376">
        <f t="shared" si="5"/>
        <v>802.7808689827848</v>
      </c>
      <c r="O27" s="376">
        <f t="shared" si="5"/>
        <v>676.07671128586969</v>
      </c>
      <c r="P27" s="376">
        <f t="shared" si="5"/>
        <v>540.68451870817216</v>
      </c>
      <c r="Q27" s="376">
        <f t="shared" si="5"/>
        <v>399.33828894893509</v>
      </c>
      <c r="R27" s="376">
        <f t="shared" si="5"/>
        <v>241.51893738082671</v>
      </c>
      <c r="S27" s="376">
        <f t="shared" si="5"/>
        <v>76.606300740217549</v>
      </c>
      <c r="T27" s="376">
        <f t="shared" si="5"/>
        <v>0</v>
      </c>
      <c r="U27" s="376">
        <f t="shared" si="5"/>
        <v>0</v>
      </c>
      <c r="V27" s="376">
        <f t="shared" si="5"/>
        <v>0</v>
      </c>
      <c r="W27" s="376">
        <f t="shared" si="5"/>
        <v>0</v>
      </c>
      <c r="X27" s="376">
        <f t="shared" si="5"/>
        <v>0</v>
      </c>
      <c r="Y27" s="376">
        <f t="shared" si="5"/>
        <v>0</v>
      </c>
      <c r="Z27" s="376">
        <f t="shared" si="5"/>
        <v>0</v>
      </c>
      <c r="AA27" s="376">
        <f t="shared" si="5"/>
        <v>0</v>
      </c>
      <c r="AB27" s="376">
        <f t="shared" si="5"/>
        <v>0</v>
      </c>
      <c r="AC27" s="376">
        <f t="shared" si="5"/>
        <v>0</v>
      </c>
      <c r="AD27" s="376">
        <f t="shared" si="5"/>
        <v>0</v>
      </c>
      <c r="AE27" s="376">
        <f t="shared" si="5"/>
        <v>0</v>
      </c>
      <c r="AF27" s="376">
        <f t="shared" si="5"/>
        <v>0</v>
      </c>
      <c r="AG27"/>
    </row>
    <row r="28" spans="1:33">
      <c r="A28" s="48" t="s">
        <v>57</v>
      </c>
      <c r="B28"/>
      <c r="C28" s="161">
        <f t="shared" ref="C28:AF28" si="6">MAX(C24+C25+B44+C27-0.5*C13,0)</f>
        <v>99376.531199100384</v>
      </c>
      <c r="D28" s="161">
        <f t="shared" si="6"/>
        <v>95806.70247666174</v>
      </c>
      <c r="E28" s="161">
        <f t="shared" si="6"/>
        <v>91892.448608792154</v>
      </c>
      <c r="F28" s="161">
        <f t="shared" si="6"/>
        <v>87696.035305974539</v>
      </c>
      <c r="G28" s="161">
        <f t="shared" si="6"/>
        <v>83238.42691211302</v>
      </c>
      <c r="H28" s="161">
        <f t="shared" si="6"/>
        <v>78480.46436700983</v>
      </c>
      <c r="I28" s="161">
        <f t="shared" si="6"/>
        <v>73412.235506629499</v>
      </c>
      <c r="J28" s="161">
        <f t="shared" si="6"/>
        <v>67986.593932153512</v>
      </c>
      <c r="K28" s="161">
        <f t="shared" si="6"/>
        <v>62211.117045199637</v>
      </c>
      <c r="L28" s="161">
        <f t="shared" si="6"/>
        <v>56043.169198003052</v>
      </c>
      <c r="M28" s="161">
        <f t="shared" si="6"/>
        <v>49462.984715372295</v>
      </c>
      <c r="N28" s="161">
        <f t="shared" si="6"/>
        <v>42426.342632840686</v>
      </c>
      <c r="O28" s="161">
        <f t="shared" si="6"/>
        <v>34923.357283452846</v>
      </c>
      <c r="P28" s="161">
        <f t="shared" si="6"/>
        <v>26906.751683052509</v>
      </c>
      <c r="Q28" s="161">
        <f t="shared" si="6"/>
        <v>18343.846693594121</v>
      </c>
      <c r="R28" s="161">
        <f t="shared" si="6"/>
        <v>9194.1142814377927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0</v>
      </c>
      <c r="X28" s="161">
        <f t="shared" si="6"/>
        <v>0</v>
      </c>
      <c r="Y28" s="161">
        <f t="shared" si="6"/>
        <v>0</v>
      </c>
      <c r="Z28" s="161">
        <f t="shared" si="6"/>
        <v>0</v>
      </c>
      <c r="AA28" s="161">
        <f t="shared" si="6"/>
        <v>0</v>
      </c>
      <c r="AB28" s="161">
        <f t="shared" si="6"/>
        <v>0</v>
      </c>
      <c r="AC28" s="161">
        <f t="shared" si="6"/>
        <v>0</v>
      </c>
      <c r="AD28" s="161">
        <f t="shared" si="6"/>
        <v>0</v>
      </c>
      <c r="AE28" s="161">
        <f t="shared" si="6"/>
        <v>0</v>
      </c>
      <c r="AF28" s="161">
        <f t="shared" si="6"/>
        <v>0</v>
      </c>
      <c r="AG28"/>
    </row>
    <row r="29" spans="1:33">
      <c r="A29" s="48" t="s">
        <v>314</v>
      </c>
      <c r="B29"/>
      <c r="C29" s="161">
        <f>(C23-B41)/(C41-B41)*IS!D32+(B41-B32)/(B41-Assumptions!H17)*IS!C32</f>
        <v>6568.4805110101179</v>
      </c>
      <c r="D29" s="161">
        <f>(D23-C41)/(D41-C41)*IS!E32+(C41-C32)/(C41-B41)*IS!D32</f>
        <v>6856.876867614772</v>
      </c>
      <c r="E29" s="161">
        <f>(E23-D41)/(E41-D41)*IS!F32+(D41-D32)/(D41-C41)*IS!E32</f>
        <v>6872.4184759679574</v>
      </c>
      <c r="F29" s="161">
        <f>(F23-E41)/(F41-E41)*IS!G32+(E41-E32)/(E41-D41)*IS!F32</f>
        <v>6822.1129672216612</v>
      </c>
      <c r="G29" s="161">
        <f>(G23-F41)/(G41-F41)*IS!H32+(F41-F32)/(F41-E41)*IS!G32</f>
        <v>6818.3605865936215</v>
      </c>
      <c r="H29" s="161">
        <f>(H23-G41)/(H41-G41)*IS!I32+(G41-G32)/(G41-F41)*IS!H32</f>
        <v>6805.0048861786781</v>
      </c>
      <c r="I29" s="161">
        <f>(I23-H41)/(I41-H41)*IS!J32+(H41-H32)/(H41-G41)*IS!I32</f>
        <v>6819.2892639072097</v>
      </c>
      <c r="J29" s="161">
        <f>(J23-I41)/(J41-I41)*IS!K32+(I41-I32)/(I41-H41)*IS!J32</f>
        <v>6768.21835401522</v>
      </c>
      <c r="K29" s="161">
        <f>(K23-J41)/(K41-J41)*IS!L32+(J41-J32)/(J41-I41)*IS!K32</f>
        <v>6763.3136249177869</v>
      </c>
      <c r="L29" s="161">
        <f>(L23-K41)/(L41-K41)*IS!M32+(K41-K32)/(K41-J41)*IS!L32</f>
        <v>6748.8569852693263</v>
      </c>
      <c r="M29" s="161">
        <f>(M23-L41)/(M41-L41)*IS!N32+(L41-L32)/(L41-K41)*IS!M32</f>
        <v>6761.7804961371967</v>
      </c>
      <c r="N29" s="161">
        <f>(N23-M41)/(N41-M41)*IS!O32+(M41-M32)/(M41-L41)*IS!N32</f>
        <v>6709.8810914298065</v>
      </c>
      <c r="O29" s="161">
        <f>(O23-N41)/(O41-N41)*IS!P32+(N41-N32)/(N41-M41)*IS!O32</f>
        <v>6703.7290232895757</v>
      </c>
      <c r="P29" s="161">
        <f>(P23-O41)/(P41-O41)*IS!Q32+(O41-O32)/(O41-N41)*IS!P32</f>
        <v>6688.0806916085512</v>
      </c>
      <c r="Q29" s="161">
        <f>(Q23-P41)/(Q41-P41)*IS!R32+(P41-P32)/(P41-O41)*IS!Q32</f>
        <v>6699.5311564209624</v>
      </c>
      <c r="R29" s="161">
        <f>(R23-Q41)/(R41-Q41)*IS!S32+(Q41-Q32)/(Q41-P41)*IS!R32</f>
        <v>6646.7349622809907</v>
      </c>
      <c r="S29" s="161">
        <f>(S23-R41)/(S41-R41)*IS!T32+(R41-R32)/(R41-Q41)*IS!S32</f>
        <v>6639.2327342464123</v>
      </c>
      <c r="T29" s="161">
        <f>(T23-S41)/(T41-S41)*IS!U32+(S41-S32)/(S41-R41)*IS!T32</f>
        <v>6622.2944767845238</v>
      </c>
      <c r="U29" s="161">
        <f>(U23-T41)/(U41-T41)*IS!V32+(T41-T32)/(T41-S41)*IS!U32</f>
        <v>6632.1504691733462</v>
      </c>
      <c r="V29" s="161">
        <f>(V23-U41)/(V41-U41)*IS!W32+(U41-U32)/(U41-T41)*IS!V32</f>
        <v>6578.3835613107985</v>
      </c>
      <c r="W29" s="161">
        <f>(W23-V41)/(W41-V41)*IS!X32+(V41-V32)/(V41-U41)*IS!W32</f>
        <v>6569.4198767854359</v>
      </c>
      <c r="X29" s="161">
        <f>(X23-W41)/(X41-W41)*IS!Y32+(W41-W32)/(W41-V41)*IS!X32</f>
        <v>6551.085362174329</v>
      </c>
      <c r="Y29" s="161">
        <f>(Y23-X41)/(Y41-X41)*IS!Z32+(X41-X32)/(X41-W41)*IS!Y32</f>
        <v>6559.2154463336246</v>
      </c>
      <c r="Z29" s="161">
        <f>(Z23-Y41)/(Z41-Y41)*IS!AA32+(Y41-Y32)/(Y41-X41)*IS!Z32</f>
        <v>6504.3978067196076</v>
      </c>
      <c r="AA29" s="161">
        <f>(AA23-Z41)/(AA41-Z41)*IS!AB32+(Z41-Z32)/(Z41-Y41)*IS!AA32</f>
        <v>6493.8521946881792</v>
      </c>
      <c r="AB29" s="161">
        <f>(AB23-AA41)/(AB41-AA41)*IS!AC32+(AA41-AA32)/(AA41-Z41)*IS!AB32</f>
        <v>6474.0063264351274</v>
      </c>
      <c r="AC29" s="161">
        <f>(AC23-AB41)/(AC41-AB41)*IS!AD32+(AB41-AB32)/(AB41-AA41)*IS!AC32</f>
        <v>6480.2682320215745</v>
      </c>
      <c r="AD29" s="161">
        <f>(AD23-AC41)/(AD41-AC41)*IS!AE32+(AC41-AC32)/(AC41-AB41)*IS!AD32</f>
        <v>6424.3132465682338</v>
      </c>
      <c r="AE29" s="161">
        <f>(AE23-AD41)/(AE41-AD41)*IS!AF32+(AD41-AD32)/(AD41-AC41)*IS!AE32</f>
        <v>6412.0553053294516</v>
      </c>
      <c r="AF29" s="161">
        <f>(AF23-AE41)/(AG23-AE41)*IS!AG32+(AE41-AE32)/(AE41-AD41)*IS!AF32</f>
        <v>4996.0574392282942</v>
      </c>
      <c r="AG29"/>
    </row>
    <row r="30" spans="1:33">
      <c r="A30" s="395" t="s">
        <v>0</v>
      </c>
      <c r="B30" s="397"/>
      <c r="C30" s="396">
        <f>IF(C28&gt;0.1,C29/(C27+C26+B44)," ")</f>
        <v>1.2679243131775455</v>
      </c>
      <c r="D30" s="396">
        <f t="shared" ref="D30:AF30" si="7">IF(D28&gt;0.1,D29/(D27+D26+C44)," ")</f>
        <v>1.2970292322630583</v>
      </c>
      <c r="E30" s="396">
        <f t="shared" si="7"/>
        <v>1.3014862813063575</v>
      </c>
      <c r="F30" s="396">
        <f t="shared" si="7"/>
        <v>1.2961659809419386</v>
      </c>
      <c r="G30" s="396">
        <f t="shared" si="7"/>
        <v>1.2970689600260839</v>
      </c>
      <c r="H30" s="396">
        <f t="shared" si="7"/>
        <v>1.2970828413948929</v>
      </c>
      <c r="I30" s="396">
        <f t="shared" si="7"/>
        <v>1.3015409497563042</v>
      </c>
      <c r="J30" s="396">
        <f t="shared" si="7"/>
        <v>1.2962221161049687</v>
      </c>
      <c r="K30" s="396">
        <f t="shared" si="7"/>
        <v>1.2971265282086626</v>
      </c>
      <c r="L30" s="396">
        <f t="shared" si="7"/>
        <v>1.2971418035404112</v>
      </c>
      <c r="M30" s="396">
        <f t="shared" si="7"/>
        <v>1.3016010981851192</v>
      </c>
      <c r="N30" s="396">
        <f t="shared" si="7"/>
        <v>1.2962839005665647</v>
      </c>
      <c r="O30" s="396">
        <f t="shared" si="7"/>
        <v>1.2971899133140432</v>
      </c>
      <c r="P30" s="396">
        <f t="shared" si="7"/>
        <v>1.2972067480418861</v>
      </c>
      <c r="Q30" s="396">
        <f t="shared" si="7"/>
        <v>1.3016673750351393</v>
      </c>
      <c r="R30" s="396">
        <f t="shared" si="7"/>
        <v>1.2963520072089731</v>
      </c>
      <c r="S30" s="396" t="str">
        <f t="shared" si="7"/>
        <v xml:space="preserve"> </v>
      </c>
      <c r="T30" s="396" t="str">
        <f t="shared" si="7"/>
        <v xml:space="preserve"> </v>
      </c>
      <c r="U30" s="396" t="str">
        <f t="shared" si="7"/>
        <v xml:space="preserve"> </v>
      </c>
      <c r="V30" s="396" t="str">
        <f t="shared" si="7"/>
        <v xml:space="preserve"> </v>
      </c>
      <c r="W30" s="396" t="str">
        <f t="shared" si="7"/>
        <v xml:space="preserve"> </v>
      </c>
      <c r="X30" s="396" t="str">
        <f t="shared" si="7"/>
        <v xml:space="preserve"> </v>
      </c>
      <c r="Y30" s="396" t="str">
        <f t="shared" si="7"/>
        <v xml:space="preserve"> </v>
      </c>
      <c r="Z30" s="396" t="str">
        <f t="shared" si="7"/>
        <v xml:space="preserve"> </v>
      </c>
      <c r="AA30" s="396" t="str">
        <f t="shared" si="7"/>
        <v xml:space="preserve"> </v>
      </c>
      <c r="AB30" s="396" t="str">
        <f t="shared" si="7"/>
        <v xml:space="preserve"> </v>
      </c>
      <c r="AC30" s="396" t="str">
        <f t="shared" si="7"/>
        <v xml:space="preserve"> </v>
      </c>
      <c r="AD30" s="396" t="str">
        <f t="shared" si="7"/>
        <v xml:space="preserve"> </v>
      </c>
      <c r="AE30" s="396" t="str">
        <f t="shared" si="7"/>
        <v xml:space="preserve"> </v>
      </c>
      <c r="AF30" s="396" t="str">
        <f t="shared" si="7"/>
        <v xml:space="preserve"> </v>
      </c>
      <c r="AG30"/>
    </row>
    <row r="31" spans="1:33">
      <c r="A31" s="11"/>
      <c r="B31" s="372"/>
      <c r="C31" s="53"/>
      <c r="AG31"/>
    </row>
    <row r="32" spans="1:33">
      <c r="A32" s="394" t="s">
        <v>399</v>
      </c>
      <c r="B32" s="382">
        <v>37165</v>
      </c>
      <c r="C32" s="382">
        <v>37530</v>
      </c>
      <c r="D32" s="382">
        <v>37895</v>
      </c>
      <c r="E32" s="382">
        <v>38261</v>
      </c>
      <c r="F32" s="382">
        <v>38626</v>
      </c>
      <c r="G32" s="382">
        <v>38991</v>
      </c>
      <c r="H32" s="382">
        <v>39356</v>
      </c>
      <c r="I32" s="382">
        <v>39722</v>
      </c>
      <c r="J32" s="382">
        <v>40087</v>
      </c>
      <c r="K32" s="382">
        <v>40452</v>
      </c>
      <c r="L32" s="382">
        <v>40817</v>
      </c>
      <c r="M32" s="382">
        <v>41183</v>
      </c>
      <c r="N32" s="382">
        <v>41548</v>
      </c>
      <c r="O32" s="382">
        <v>41913</v>
      </c>
      <c r="P32" s="382">
        <v>42278</v>
      </c>
      <c r="Q32" s="382">
        <v>42644</v>
      </c>
      <c r="R32" s="382">
        <v>43009</v>
      </c>
      <c r="S32" s="382">
        <v>43374</v>
      </c>
      <c r="T32" s="382">
        <v>43739</v>
      </c>
      <c r="U32" s="382">
        <v>44105</v>
      </c>
      <c r="V32" s="382">
        <v>44470</v>
      </c>
      <c r="W32" s="382">
        <v>44835</v>
      </c>
      <c r="X32" s="382">
        <v>45200</v>
      </c>
      <c r="Y32" s="382">
        <v>45566</v>
      </c>
      <c r="Z32" s="382">
        <v>45931</v>
      </c>
      <c r="AA32" s="382">
        <v>46296</v>
      </c>
      <c r="AB32" s="382">
        <v>46661</v>
      </c>
      <c r="AC32" s="382">
        <v>47027</v>
      </c>
      <c r="AD32" s="382">
        <v>47392</v>
      </c>
      <c r="AE32" s="382">
        <v>47757</v>
      </c>
      <c r="AF32" s="382">
        <v>47969</v>
      </c>
      <c r="AG32"/>
    </row>
    <row r="33" spans="1:39">
      <c r="A33" s="48" t="s">
        <v>54</v>
      </c>
      <c r="B33" s="373">
        <f>Assumptions!C12</f>
        <v>102095.19400933004</v>
      </c>
      <c r="C33" s="48">
        <f>C28</f>
        <v>99376.531199100384</v>
      </c>
      <c r="D33" s="48">
        <f t="shared" ref="D33:AF33" si="8">D28</f>
        <v>95806.70247666174</v>
      </c>
      <c r="E33" s="48">
        <f t="shared" si="8"/>
        <v>91892.448608792154</v>
      </c>
      <c r="F33" s="48">
        <f t="shared" si="8"/>
        <v>87696.035305974539</v>
      </c>
      <c r="G33" s="48">
        <f t="shared" si="8"/>
        <v>83238.42691211302</v>
      </c>
      <c r="H33" s="48">
        <f t="shared" si="8"/>
        <v>78480.46436700983</v>
      </c>
      <c r="I33" s="48">
        <f t="shared" si="8"/>
        <v>73412.235506629499</v>
      </c>
      <c r="J33" s="48">
        <f t="shared" si="8"/>
        <v>67986.593932153512</v>
      </c>
      <c r="K33" s="48">
        <f t="shared" si="8"/>
        <v>62211.117045199637</v>
      </c>
      <c r="L33" s="48">
        <f t="shared" si="8"/>
        <v>56043.169198003052</v>
      </c>
      <c r="M33" s="48">
        <f t="shared" si="8"/>
        <v>49462.984715372295</v>
      </c>
      <c r="N33" s="48">
        <f t="shared" si="8"/>
        <v>42426.342632840686</v>
      </c>
      <c r="O33" s="48">
        <f t="shared" si="8"/>
        <v>34923.357283452846</v>
      </c>
      <c r="P33" s="48">
        <f t="shared" si="8"/>
        <v>26906.751683052509</v>
      </c>
      <c r="Q33" s="48">
        <f t="shared" si="8"/>
        <v>18343.846693594121</v>
      </c>
      <c r="R33" s="48">
        <f t="shared" si="8"/>
        <v>9194.1142814377927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312</v>
      </c>
      <c r="B34" s="373">
        <v>0</v>
      </c>
      <c r="C34" s="373">
        <v>0</v>
      </c>
      <c r="D34" s="373">
        <v>0</v>
      </c>
      <c r="E34" s="373">
        <v>0</v>
      </c>
      <c r="F34" s="373">
        <v>0</v>
      </c>
      <c r="G34" s="373">
        <v>0</v>
      </c>
      <c r="H34" s="373">
        <v>0</v>
      </c>
      <c r="I34" s="373">
        <v>0</v>
      </c>
      <c r="J34" s="373">
        <v>0</v>
      </c>
      <c r="K34" s="373">
        <v>0</v>
      </c>
      <c r="L34" s="373">
        <v>0</v>
      </c>
      <c r="M34" s="373">
        <v>0</v>
      </c>
      <c r="N34" s="373">
        <v>0</v>
      </c>
      <c r="O34" s="373">
        <v>0</v>
      </c>
      <c r="P34" s="373">
        <v>0</v>
      </c>
      <c r="Q34" s="373">
        <v>0</v>
      </c>
      <c r="R34" s="373">
        <v>0</v>
      </c>
      <c r="S34" s="373">
        <v>0</v>
      </c>
      <c r="T34" s="373">
        <v>0</v>
      </c>
      <c r="U34" s="373">
        <v>0</v>
      </c>
      <c r="V34" s="373">
        <v>0</v>
      </c>
      <c r="W34" s="373">
        <v>0</v>
      </c>
      <c r="X34" s="373">
        <v>0</v>
      </c>
      <c r="Y34" s="373">
        <v>0</v>
      </c>
      <c r="Z34" s="373">
        <v>0</v>
      </c>
      <c r="AA34" s="373">
        <v>0</v>
      </c>
      <c r="AB34" s="373">
        <v>0</v>
      </c>
      <c r="AC34" s="373">
        <v>0</v>
      </c>
      <c r="AD34" s="373">
        <v>0</v>
      </c>
      <c r="AE34" s="373">
        <v>0</v>
      </c>
      <c r="AF34" s="373">
        <v>0</v>
      </c>
      <c r="AG34"/>
    </row>
    <row r="35" spans="1:39">
      <c r="A35" s="48" t="s">
        <v>55</v>
      </c>
      <c r="B35" s="48">
        <f>B33-B37</f>
        <v>1063.3824775534158</v>
      </c>
      <c r="C35" s="48">
        <f>C33-C37</f>
        <v>1692.7910526487976</v>
      </c>
      <c r="D35" s="48">
        <f t="shared" ref="D35:AF35" si="9">D33-D37</f>
        <v>1924.1801101727469</v>
      </c>
      <c r="E35" s="48">
        <f t="shared" si="9"/>
        <v>2064.2029592287581</v>
      </c>
      <c r="F35" s="48">
        <f t="shared" si="9"/>
        <v>2185.5315302732924</v>
      </c>
      <c r="G35" s="48">
        <f t="shared" si="9"/>
        <v>2335.418149501289</v>
      </c>
      <c r="H35" s="48">
        <f t="shared" si="9"/>
        <v>2492.0501027095161</v>
      </c>
      <c r="I35" s="48">
        <f t="shared" si="9"/>
        <v>2669.968385690634</v>
      </c>
      <c r="J35" s="48">
        <f t="shared" si="9"/>
        <v>2835.4457645282528</v>
      </c>
      <c r="K35" s="48">
        <f t="shared" si="9"/>
        <v>3030.7193917585973</v>
      </c>
      <c r="L35" s="48">
        <f t="shared" si="9"/>
        <v>3235.9826162007739</v>
      </c>
      <c r="M35" s="48">
        <f t="shared" si="9"/>
        <v>3463.7669479128817</v>
      </c>
      <c r="N35" s="48">
        <f t="shared" si="9"/>
        <v>3687.2532106519211</v>
      </c>
      <c r="O35" s="48">
        <f t="shared" si="9"/>
        <v>3942.2192413048251</v>
      </c>
      <c r="P35" s="48">
        <f t="shared" si="9"/>
        <v>4211.438988128557</v>
      </c>
      <c r="Q35" s="48">
        <f t="shared" si="9"/>
        <v>4504.8494967335646</v>
      </c>
      <c r="R35" s="48">
        <f t="shared" si="9"/>
        <v>4804.5852751301936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56</v>
      </c>
      <c r="B36" s="376">
        <f>B33*(B32-Assumptions!H17)/365.25*$E$64</f>
        <v>2993.6742719778904</v>
      </c>
      <c r="C36" s="376">
        <f t="shared" ref="C36:AF36" si="10">C33*(C32-C23)/(C41-B41)*$E$64</f>
        <v>3487.707848384865</v>
      </c>
      <c r="D36" s="376">
        <f t="shared" si="10"/>
        <v>3362.4215307562649</v>
      </c>
      <c r="E36" s="376">
        <f t="shared" si="10"/>
        <v>3216.2357013077249</v>
      </c>
      <c r="F36" s="376">
        <f t="shared" si="10"/>
        <v>3077.7704445740651</v>
      </c>
      <c r="G36" s="376">
        <f t="shared" si="10"/>
        <v>2921.3267088881303</v>
      </c>
      <c r="H36" s="376">
        <f t="shared" si="10"/>
        <v>2754.3417768257418</v>
      </c>
      <c r="I36" s="376">
        <f t="shared" si="10"/>
        <v>2569.4282427320322</v>
      </c>
      <c r="J36" s="376">
        <f t="shared" si="10"/>
        <v>2386.050050057223</v>
      </c>
      <c r="K36" s="376">
        <f t="shared" si="10"/>
        <v>2183.3545461616636</v>
      </c>
      <c r="L36" s="376">
        <f t="shared" si="10"/>
        <v>1966.8849244559426</v>
      </c>
      <c r="M36" s="376">
        <f t="shared" si="10"/>
        <v>1731.2044650380301</v>
      </c>
      <c r="N36" s="376">
        <f t="shared" si="10"/>
        <v>1488.9902715799701</v>
      </c>
      <c r="O36" s="376">
        <f t="shared" si="10"/>
        <v>1225.6663200028245</v>
      </c>
      <c r="P36" s="376">
        <f t="shared" si="10"/>
        <v>944.31640838329474</v>
      </c>
      <c r="Q36" s="376">
        <f t="shared" si="10"/>
        <v>642.03463427579413</v>
      </c>
      <c r="R36" s="376">
        <f t="shared" si="10"/>
        <v>322.67562724717288</v>
      </c>
      <c r="S36" s="376">
        <f t="shared" si="10"/>
        <v>0</v>
      </c>
      <c r="T36" s="376">
        <f t="shared" si="10"/>
        <v>0</v>
      </c>
      <c r="U36" s="376">
        <f t="shared" si="10"/>
        <v>0</v>
      </c>
      <c r="V36" s="376">
        <f t="shared" si="10"/>
        <v>0</v>
      </c>
      <c r="W36" s="376">
        <f t="shared" si="10"/>
        <v>0</v>
      </c>
      <c r="X36" s="376">
        <f t="shared" si="10"/>
        <v>0</v>
      </c>
      <c r="Y36" s="376">
        <f t="shared" si="10"/>
        <v>0</v>
      </c>
      <c r="Z36" s="376">
        <f t="shared" si="10"/>
        <v>0</v>
      </c>
      <c r="AA36" s="376">
        <f t="shared" si="10"/>
        <v>0</v>
      </c>
      <c r="AB36" s="376">
        <f t="shared" si="10"/>
        <v>0</v>
      </c>
      <c r="AC36" s="376">
        <f t="shared" si="10"/>
        <v>0</v>
      </c>
      <c r="AD36" s="376">
        <f t="shared" si="10"/>
        <v>0</v>
      </c>
      <c r="AE36" s="376">
        <f t="shared" si="10"/>
        <v>0</v>
      </c>
      <c r="AF36" s="376">
        <f t="shared" si="10"/>
        <v>0</v>
      </c>
      <c r="AG36"/>
    </row>
    <row r="37" spans="1:39">
      <c r="A37" s="48" t="s">
        <v>57</v>
      </c>
      <c r="B37" s="161">
        <f>MAX(B33+B34+B36-B13,0)</f>
        <v>101031.81153177662</v>
      </c>
      <c r="C37" s="161">
        <f>MAX(C33+C34+C36-0.5*C13,0)</f>
        <v>97683.740146451586</v>
      </c>
      <c r="D37" s="161">
        <f t="shared" ref="D37:AF37" si="11">MAX(D33+D34+D36-0.5*D13,0)</f>
        <v>93882.522366488993</v>
      </c>
      <c r="E37" s="161">
        <f t="shared" si="11"/>
        <v>89828.245649563396</v>
      </c>
      <c r="F37" s="161">
        <f t="shared" si="11"/>
        <v>85510.503775701247</v>
      </c>
      <c r="G37" s="161">
        <f t="shared" si="11"/>
        <v>80903.008762611731</v>
      </c>
      <c r="H37" s="161">
        <f t="shared" si="11"/>
        <v>75988.414264300314</v>
      </c>
      <c r="I37" s="161">
        <f t="shared" si="11"/>
        <v>70742.267120938865</v>
      </c>
      <c r="J37" s="161">
        <f t="shared" si="11"/>
        <v>65151.148167625259</v>
      </c>
      <c r="K37" s="161">
        <f t="shared" si="11"/>
        <v>59180.397653441039</v>
      </c>
      <c r="L37" s="161">
        <f t="shared" si="11"/>
        <v>52807.186581802278</v>
      </c>
      <c r="M37" s="161">
        <f t="shared" si="11"/>
        <v>45999.217767459413</v>
      </c>
      <c r="N37" s="161">
        <f t="shared" si="11"/>
        <v>38739.089422188765</v>
      </c>
      <c r="O37" s="161">
        <f t="shared" si="11"/>
        <v>30981.138042148021</v>
      </c>
      <c r="P37" s="161">
        <f t="shared" si="11"/>
        <v>22695.312694923952</v>
      </c>
      <c r="Q37" s="161">
        <f t="shared" si="11"/>
        <v>13838.997196860557</v>
      </c>
      <c r="R37" s="161">
        <f t="shared" si="11"/>
        <v>4389.529006307599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0</v>
      </c>
      <c r="X37" s="161">
        <f t="shared" si="11"/>
        <v>0</v>
      </c>
      <c r="Y37" s="161">
        <f t="shared" si="11"/>
        <v>0</v>
      </c>
      <c r="Z37" s="161">
        <f t="shared" si="11"/>
        <v>0</v>
      </c>
      <c r="AA37" s="161">
        <f t="shared" si="11"/>
        <v>0</v>
      </c>
      <c r="AB37" s="161">
        <f t="shared" si="11"/>
        <v>0</v>
      </c>
      <c r="AC37" s="161">
        <f t="shared" si="11"/>
        <v>0</v>
      </c>
      <c r="AD37" s="161">
        <f t="shared" si="11"/>
        <v>0</v>
      </c>
      <c r="AE37" s="161">
        <f t="shared" si="11"/>
        <v>0</v>
      </c>
      <c r="AF37" s="161">
        <f t="shared" si="11"/>
        <v>0</v>
      </c>
      <c r="AG37"/>
    </row>
    <row r="38" spans="1:39">
      <c r="A38" s="48" t="s">
        <v>314</v>
      </c>
      <c r="B38" s="161">
        <f>(B32-Assumptions!H17)/(Debt!B41-Assumptions!H17)*IS!C32</f>
        <v>5274.1737743906833</v>
      </c>
      <c r="C38" s="161">
        <f>(C32-C23)/(C41-B41)*IS!D32</f>
        <v>6900.8166316773859</v>
      </c>
      <c r="D38" s="161">
        <f>(D32-D23)/(D41-C41)*IS!E32</f>
        <v>6888.2873988006741</v>
      </c>
      <c r="E38" s="161">
        <f>(E32-E23)/(E41-D41)*IS!F32</f>
        <v>6856.7220414269013</v>
      </c>
      <c r="F38" s="161">
        <f>(F32-F23)/(F41-E41)*IS!G32</f>
        <v>6862.4721673814956</v>
      </c>
      <c r="G38" s="161">
        <f>(G32-G23)/(G41-F41)*IS!H32</f>
        <v>6849.1760452188655</v>
      </c>
      <c r="H38" s="161">
        <f>(H32-H23)/(H41-G41)*IS!I32</f>
        <v>6835.6140006129835</v>
      </c>
      <c r="I38" s="161">
        <f>(I32-I23)/(I41-H41)*IS!J32</f>
        <v>6803.1419699917169</v>
      </c>
      <c r="J38" s="161">
        <f>(J32-J23)/(J41-I41)*IS!K32</f>
        <v>6807.6707639070228</v>
      </c>
      <c r="K38" s="161">
        <f>(K32-K23)/(K41-J41)*IS!L32</f>
        <v>6793.2786136749019</v>
      </c>
      <c r="L38" s="161">
        <f>(L32-L23)/(L41-K41)*IS!M32</f>
        <v>6778.5986204381397</v>
      </c>
      <c r="M38" s="161">
        <f>(M32-M23)/(M41-L41)*IS!N32</f>
        <v>6745.1451775351761</v>
      </c>
      <c r="N38" s="161">
        <f>(N32-N23)/(N41-M41)*IS!O32</f>
        <v>6748.3519623731154</v>
      </c>
      <c r="O38" s="161">
        <f>(O32-O23)/(O41-N41)*IS!P32</f>
        <v>6732.7734361103185</v>
      </c>
      <c r="P38" s="161">
        <f>(P32-P23)/(P41-O41)*IS!Q32</f>
        <v>6716.8833393222649</v>
      </c>
      <c r="Q38" s="161">
        <f>(Q32-Q23)/(Q41-P41)*IS!R32</f>
        <v>6682.3675842033717</v>
      </c>
      <c r="R38" s="161">
        <f>(R32-R23)/(R41-Q41)*IS!S32</f>
        <v>6684.1433839001593</v>
      </c>
      <c r="S38" s="161">
        <f>(S32-S23)/(S41-R41)*IS!T32</f>
        <v>6667.280686067902</v>
      </c>
      <c r="T38" s="161">
        <f>(T32-T23)/(T41-S41)*IS!U32</f>
        <v>6650.0807342789994</v>
      </c>
      <c r="U38" s="161">
        <f>(U32-U23)/(U41-T41)*IS!V32</f>
        <v>6614.4150982536239</v>
      </c>
      <c r="V38" s="161">
        <f>(V32-V23)/(V41-U41)*IS!W32</f>
        <v>6614.6419536131461</v>
      </c>
      <c r="W38" s="161">
        <f>(W32-W23)/(W41-V41)*IS!X32</f>
        <v>6596.3892271751492</v>
      </c>
      <c r="X38" s="161">
        <f>(X32-X23)/(X41-W41)*IS!Y32</f>
        <v>6577.7714462083932</v>
      </c>
      <c r="Y38" s="161">
        <f>(Y32-Y23)/(Y41-X41)*IS!Z32</f>
        <v>6540.8611421096703</v>
      </c>
      <c r="Z38" s="161">
        <f>(Z32-Z23)/(Z41-Y41)*IS!AA32</f>
        <v>6539.411370304485</v>
      </c>
      <c r="AA38" s="161">
        <f>(AA32-AA23)/(AA41-Z41)*IS!AB32</f>
        <v>6519.6540322003157</v>
      </c>
      <c r="AB38" s="161">
        <f>(AB32-AB23)/(AB41-AA41)*IS!AC32</f>
        <v>6499.5015473340618</v>
      </c>
      <c r="AC38" s="161">
        <f>(AC32-AC23)/(AC41-AB41)*IS!AD32</f>
        <v>6461.2439744842231</v>
      </c>
      <c r="AD38" s="161">
        <f>(AD32-AD23)/(AD41-AC41)*IS!AE32</f>
        <v>6457.9793675156316</v>
      </c>
      <c r="AE38" s="161">
        <f>(AE32-AE23)/(AE41-AD41)*IS!AF32</f>
        <v>6436.5933893556848</v>
      </c>
      <c r="AF38" s="161">
        <f>(AF32-AF23)/(AG23-AE41)*IS!AG32</f>
        <v>591.87265888562513</v>
      </c>
      <c r="AG38"/>
    </row>
    <row r="39" spans="1:39">
      <c r="A39" s="395" t="s">
        <v>0</v>
      </c>
      <c r="B39" s="396">
        <f t="shared" ref="B39:AF39" si="12">IF(B37&gt;0.1,B38/(B36+B35)," ")</f>
        <v>1.2999999999999963</v>
      </c>
      <c r="C39" s="396">
        <f t="shared" si="12"/>
        <v>1.3320756868224541</v>
      </c>
      <c r="D39" s="396">
        <f t="shared" si="12"/>
        <v>1.3029707677369462</v>
      </c>
      <c r="E39" s="396">
        <f t="shared" si="12"/>
        <v>1.2985137186936417</v>
      </c>
      <c r="F39" s="396">
        <f t="shared" si="12"/>
        <v>1.3038340190580677</v>
      </c>
      <c r="G39" s="396">
        <f t="shared" si="12"/>
        <v>1.3029310399739167</v>
      </c>
      <c r="H39" s="396">
        <f t="shared" si="12"/>
        <v>1.3029171586051067</v>
      </c>
      <c r="I39" s="396">
        <f t="shared" si="12"/>
        <v>1.2984590502436957</v>
      </c>
      <c r="J39" s="396">
        <f t="shared" si="12"/>
        <v>1.3037778838950329</v>
      </c>
      <c r="K39" s="396">
        <f t="shared" si="12"/>
        <v>1.3028734717913377</v>
      </c>
      <c r="L39" s="396">
        <f t="shared" si="12"/>
        <v>1.3028581964595876</v>
      </c>
      <c r="M39" s="396">
        <f t="shared" si="12"/>
        <v>1.2983989018148832</v>
      </c>
      <c r="N39" s="396">
        <f t="shared" si="12"/>
        <v>1.3037160994334376</v>
      </c>
      <c r="O39" s="396">
        <f t="shared" si="12"/>
        <v>1.302810086685956</v>
      </c>
      <c r="P39" s="396">
        <f t="shared" si="12"/>
        <v>1.3027932519581129</v>
      </c>
      <c r="Q39" s="396">
        <f t="shared" si="12"/>
        <v>1.2983326249648617</v>
      </c>
      <c r="R39" s="396">
        <f t="shared" si="12"/>
        <v>1.3036479927910261</v>
      </c>
      <c r="S39" s="396" t="str">
        <f t="shared" si="12"/>
        <v xml:space="preserve"> </v>
      </c>
      <c r="T39" s="396" t="str">
        <f t="shared" si="12"/>
        <v xml:space="preserve"> </v>
      </c>
      <c r="U39" s="396" t="str">
        <f t="shared" si="12"/>
        <v xml:space="preserve"> </v>
      </c>
      <c r="V39" s="396" t="str">
        <f t="shared" si="12"/>
        <v xml:space="preserve"> </v>
      </c>
      <c r="W39" s="396" t="str">
        <f t="shared" si="12"/>
        <v xml:space="preserve"> </v>
      </c>
      <c r="X39" s="396" t="str">
        <f t="shared" si="12"/>
        <v xml:space="preserve"> </v>
      </c>
      <c r="Y39" s="396" t="str">
        <f t="shared" si="12"/>
        <v xml:space="preserve"> </v>
      </c>
      <c r="Z39" s="396" t="str">
        <f t="shared" si="12"/>
        <v xml:space="preserve"> </v>
      </c>
      <c r="AA39" s="396" t="str">
        <f t="shared" si="12"/>
        <v xml:space="preserve"> </v>
      </c>
      <c r="AB39" s="396" t="str">
        <f t="shared" si="12"/>
        <v xml:space="preserve"> </v>
      </c>
      <c r="AC39" s="396" t="str">
        <f t="shared" si="12"/>
        <v xml:space="preserve"> </v>
      </c>
      <c r="AD39" s="396" t="str">
        <f t="shared" si="12"/>
        <v xml:space="preserve"> </v>
      </c>
      <c r="AE39" s="396" t="str">
        <f t="shared" si="12"/>
        <v xml:space="preserve"> </v>
      </c>
      <c r="AF39" s="396" t="str">
        <f t="shared" si="12"/>
        <v xml:space="preserve"> 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85">
        <f>B8</f>
        <v>37256</v>
      </c>
      <c r="C41" s="385">
        <f t="shared" ref="C41:AF41" si="13">C8</f>
        <v>37621</v>
      </c>
      <c r="D41" s="385">
        <f t="shared" si="13"/>
        <v>37986</v>
      </c>
      <c r="E41" s="385">
        <f t="shared" si="13"/>
        <v>38352</v>
      </c>
      <c r="F41" s="385">
        <f t="shared" si="13"/>
        <v>38717</v>
      </c>
      <c r="G41" s="385">
        <f t="shared" si="13"/>
        <v>39082</v>
      </c>
      <c r="H41" s="385">
        <f t="shared" si="13"/>
        <v>39447</v>
      </c>
      <c r="I41" s="385">
        <f t="shared" si="13"/>
        <v>39813</v>
      </c>
      <c r="J41" s="385">
        <f t="shared" si="13"/>
        <v>40178</v>
      </c>
      <c r="K41" s="385">
        <f t="shared" si="13"/>
        <v>40543</v>
      </c>
      <c r="L41" s="385">
        <f t="shared" si="13"/>
        <v>40908</v>
      </c>
      <c r="M41" s="385">
        <f t="shared" si="13"/>
        <v>41274</v>
      </c>
      <c r="N41" s="385">
        <f t="shared" si="13"/>
        <v>41639</v>
      </c>
      <c r="O41" s="385">
        <f t="shared" si="13"/>
        <v>42004</v>
      </c>
      <c r="P41" s="385">
        <f t="shared" si="13"/>
        <v>42369</v>
      </c>
      <c r="Q41" s="385">
        <f t="shared" si="13"/>
        <v>42735</v>
      </c>
      <c r="R41" s="385">
        <f t="shared" si="13"/>
        <v>43100</v>
      </c>
      <c r="S41" s="385">
        <f t="shared" si="13"/>
        <v>43465</v>
      </c>
      <c r="T41" s="385">
        <f t="shared" si="13"/>
        <v>43830</v>
      </c>
      <c r="U41" s="385">
        <f t="shared" si="13"/>
        <v>44196</v>
      </c>
      <c r="V41" s="385">
        <f t="shared" si="13"/>
        <v>44561</v>
      </c>
      <c r="W41" s="385">
        <f t="shared" si="13"/>
        <v>44926</v>
      </c>
      <c r="X41" s="385">
        <f t="shared" si="13"/>
        <v>45291</v>
      </c>
      <c r="Y41" s="385">
        <f t="shared" si="13"/>
        <v>45657</v>
      </c>
      <c r="Z41" s="385">
        <f t="shared" si="13"/>
        <v>46022</v>
      </c>
      <c r="AA41" s="385">
        <f t="shared" si="13"/>
        <v>46387</v>
      </c>
      <c r="AB41" s="385">
        <f t="shared" si="13"/>
        <v>46752</v>
      </c>
      <c r="AC41" s="385">
        <f t="shared" si="13"/>
        <v>47118</v>
      </c>
      <c r="AD41" s="385">
        <f t="shared" si="13"/>
        <v>47483</v>
      </c>
      <c r="AE41" s="385">
        <f t="shared" si="13"/>
        <v>47848</v>
      </c>
      <c r="AF41" s="385">
        <f t="shared" si="13"/>
        <v>48213</v>
      </c>
    </row>
    <row r="42" spans="1:39">
      <c r="A42" s="48" t="s">
        <v>54</v>
      </c>
      <c r="B42" s="48">
        <f>B37</f>
        <v>101031.81153177662</v>
      </c>
      <c r="C42" s="48">
        <f>C37</f>
        <v>97683.740146451586</v>
      </c>
      <c r="D42" s="48">
        <f t="shared" ref="D42:AF42" si="14">D37</f>
        <v>93882.522366488993</v>
      </c>
      <c r="E42" s="48">
        <f t="shared" si="14"/>
        <v>89828.245649563396</v>
      </c>
      <c r="F42" s="48">
        <f t="shared" si="14"/>
        <v>85510.503775701247</v>
      </c>
      <c r="G42" s="48">
        <f t="shared" si="14"/>
        <v>80903.008762611731</v>
      </c>
      <c r="H42" s="48">
        <f t="shared" si="14"/>
        <v>75988.414264300314</v>
      </c>
      <c r="I42" s="48">
        <f t="shared" si="14"/>
        <v>70742.267120938865</v>
      </c>
      <c r="J42" s="48">
        <f t="shared" si="14"/>
        <v>65151.148167625259</v>
      </c>
      <c r="K42" s="48">
        <f t="shared" si="14"/>
        <v>59180.397653441039</v>
      </c>
      <c r="L42" s="48">
        <f t="shared" si="14"/>
        <v>52807.186581802278</v>
      </c>
      <c r="M42" s="48">
        <f t="shared" si="14"/>
        <v>45999.217767459413</v>
      </c>
      <c r="N42" s="48">
        <f t="shared" si="14"/>
        <v>38739.089422188765</v>
      </c>
      <c r="O42" s="48">
        <f t="shared" si="14"/>
        <v>30981.138042148021</v>
      </c>
      <c r="P42" s="48">
        <f t="shared" si="14"/>
        <v>22695.312694923952</v>
      </c>
      <c r="Q42" s="48">
        <f t="shared" si="14"/>
        <v>13838.997196860557</v>
      </c>
      <c r="R42" s="48">
        <f t="shared" si="14"/>
        <v>4389.529006307599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312</v>
      </c>
      <c r="B43" s="373">
        <v>0</v>
      </c>
      <c r="C43" s="373">
        <v>0</v>
      </c>
      <c r="D43" s="373">
        <v>0</v>
      </c>
      <c r="E43" s="373">
        <v>0</v>
      </c>
      <c r="F43" s="373">
        <v>0</v>
      </c>
      <c r="G43" s="373">
        <v>0</v>
      </c>
      <c r="H43" s="373">
        <v>0</v>
      </c>
      <c r="I43" s="373">
        <v>0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73">
        <v>0</v>
      </c>
      <c r="Z43" s="373">
        <v>0</v>
      </c>
      <c r="AA43" s="373">
        <v>0</v>
      </c>
      <c r="AB43" s="373">
        <v>0</v>
      </c>
      <c r="AC43" s="373">
        <v>0</v>
      </c>
      <c r="AD43" s="373">
        <v>0</v>
      </c>
      <c r="AE43" s="373">
        <v>0</v>
      </c>
      <c r="AF43" s="373">
        <v>0</v>
      </c>
    </row>
    <row r="44" spans="1:39">
      <c r="A44" s="48" t="s">
        <v>56</v>
      </c>
      <c r="B44" s="376">
        <f>B42*(B41-B32)/365.25*$E$64</f>
        <v>1762.0058575151731</v>
      </c>
      <c r="C44" s="376">
        <f t="shared" ref="C44:AF44" si="15">C42*(C41-C32)/(C41-B41)*$E$64</f>
        <v>1704.7819855695793</v>
      </c>
      <c r="D44" s="376">
        <f t="shared" si="15"/>
        <v>1638.4429245877666</v>
      </c>
      <c r="E44" s="376">
        <f t="shared" si="15"/>
        <v>1563.4041660866633</v>
      </c>
      <c r="F44" s="376">
        <f t="shared" si="15"/>
        <v>1492.3339974005942</v>
      </c>
      <c r="G44" s="376">
        <f t="shared" si="15"/>
        <v>1411.9237419666758</v>
      </c>
      <c r="H44" s="376">
        <f t="shared" si="15"/>
        <v>1326.1539694892956</v>
      </c>
      <c r="I44" s="376">
        <f t="shared" si="15"/>
        <v>1231.2247037168866</v>
      </c>
      <c r="J44" s="376">
        <f t="shared" si="15"/>
        <v>1137.0214077473227</v>
      </c>
      <c r="K44" s="376">
        <f t="shared" si="15"/>
        <v>1032.819542609368</v>
      </c>
      <c r="L44" s="376">
        <f t="shared" si="15"/>
        <v>921.59391377008342</v>
      </c>
      <c r="M44" s="376">
        <f t="shared" si="15"/>
        <v>800.58747863037274</v>
      </c>
      <c r="N44" s="376">
        <f t="shared" si="15"/>
        <v>676.07671128586969</v>
      </c>
      <c r="O44" s="376">
        <f t="shared" si="15"/>
        <v>540.68451870817216</v>
      </c>
      <c r="P44" s="376">
        <f t="shared" si="15"/>
        <v>396.07984073059055</v>
      </c>
      <c r="Q44" s="376">
        <f t="shared" si="15"/>
        <v>240.85904957377525</v>
      </c>
      <c r="R44" s="376">
        <f t="shared" si="15"/>
        <v>76.606300740217549</v>
      </c>
      <c r="S44" s="376">
        <f t="shared" si="15"/>
        <v>0</v>
      </c>
      <c r="T44" s="376">
        <f t="shared" si="15"/>
        <v>0</v>
      </c>
      <c r="U44" s="376">
        <f t="shared" si="15"/>
        <v>0</v>
      </c>
      <c r="V44" s="376">
        <f t="shared" si="15"/>
        <v>0</v>
      </c>
      <c r="W44" s="376">
        <f t="shared" si="15"/>
        <v>0</v>
      </c>
      <c r="X44" s="376">
        <f t="shared" si="15"/>
        <v>0</v>
      </c>
      <c r="Y44" s="376">
        <f t="shared" si="15"/>
        <v>0</v>
      </c>
      <c r="Z44" s="376">
        <f t="shared" si="15"/>
        <v>0</v>
      </c>
      <c r="AA44" s="376">
        <f t="shared" si="15"/>
        <v>0</v>
      </c>
      <c r="AB44" s="376">
        <f t="shared" si="15"/>
        <v>0</v>
      </c>
      <c r="AC44" s="376">
        <f t="shared" si="15"/>
        <v>0</v>
      </c>
      <c r="AD44" s="376">
        <f t="shared" si="15"/>
        <v>0</v>
      </c>
      <c r="AE44" s="376">
        <f t="shared" si="15"/>
        <v>0</v>
      </c>
      <c r="AF44" s="376">
        <f t="shared" si="15"/>
        <v>0</v>
      </c>
    </row>
    <row r="45" spans="1:39">
      <c r="A45" s="48" t="s">
        <v>57</v>
      </c>
      <c r="B45" s="48">
        <f>B42+B43</f>
        <v>101031.81153177662</v>
      </c>
      <c r="C45" s="48">
        <f t="shared" ref="C45:AF45" si="16">C42+C43</f>
        <v>97683.740146451586</v>
      </c>
      <c r="D45" s="48">
        <f t="shared" si="16"/>
        <v>93882.522366488993</v>
      </c>
      <c r="E45" s="48">
        <f t="shared" si="16"/>
        <v>89828.245649563396</v>
      </c>
      <c r="F45" s="48">
        <f t="shared" si="16"/>
        <v>85510.503775701247</v>
      </c>
      <c r="G45" s="48">
        <f t="shared" si="16"/>
        <v>80903.008762611731</v>
      </c>
      <c r="H45" s="48">
        <f t="shared" si="16"/>
        <v>75988.414264300314</v>
      </c>
      <c r="I45" s="48">
        <f t="shared" si="16"/>
        <v>70742.267120938865</v>
      </c>
      <c r="J45" s="48">
        <f t="shared" si="16"/>
        <v>65151.148167625259</v>
      </c>
      <c r="K45" s="48">
        <f t="shared" si="16"/>
        <v>59180.397653441039</v>
      </c>
      <c r="L45" s="48">
        <f t="shared" si="16"/>
        <v>52807.186581802278</v>
      </c>
      <c r="M45" s="48">
        <f t="shared" si="16"/>
        <v>45999.217767459413</v>
      </c>
      <c r="N45" s="48">
        <f t="shared" si="16"/>
        <v>38739.089422188765</v>
      </c>
      <c r="O45" s="48">
        <f t="shared" si="16"/>
        <v>30981.138042148021</v>
      </c>
      <c r="P45" s="48">
        <f t="shared" si="16"/>
        <v>22695.312694923952</v>
      </c>
      <c r="Q45" s="48">
        <f t="shared" si="16"/>
        <v>13838.997196860557</v>
      </c>
      <c r="R45" s="48">
        <f t="shared" si="16"/>
        <v>4389.529006307599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372"/>
      <c r="Z46" s="372"/>
      <c r="AA46" s="372"/>
      <c r="AB46" s="372"/>
      <c r="AC46" s="372"/>
      <c r="AD46" s="372"/>
      <c r="AE46" s="372"/>
      <c r="AF46" s="372"/>
    </row>
    <row r="47" spans="1:39">
      <c r="A47" s="386" t="s">
        <v>371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372"/>
      <c r="Z47" s="372"/>
      <c r="AA47" s="372"/>
      <c r="AB47" s="372"/>
      <c r="AC47" s="372"/>
      <c r="AD47" s="372"/>
      <c r="AE47" s="372"/>
      <c r="AF47" s="372"/>
      <c r="AG47" s="49"/>
      <c r="AH47" s="49"/>
      <c r="AI47" s="49"/>
      <c r="AJ47" s="49"/>
      <c r="AK47" s="49"/>
      <c r="AL47" s="49"/>
      <c r="AM47" s="49"/>
    </row>
    <row r="48" spans="1:39">
      <c r="A48" s="48" t="s">
        <v>130</v>
      </c>
      <c r="B48" s="161">
        <f>SUM(B35,B26)</f>
        <v>1063.3824775534158</v>
      </c>
      <c r="C48" s="161">
        <f t="shared" ref="C48:AF48" si="17">SUM(C35,C26)</f>
        <v>3348.0713853250345</v>
      </c>
      <c r="D48" s="161">
        <f t="shared" si="17"/>
        <v>3801.2177799625933</v>
      </c>
      <c r="E48" s="161">
        <f t="shared" si="17"/>
        <v>4054.2767169255967</v>
      </c>
      <c r="F48" s="161">
        <f t="shared" si="17"/>
        <v>4317.7418738621491</v>
      </c>
      <c r="G48" s="161">
        <f t="shared" si="17"/>
        <v>4607.4950130895159</v>
      </c>
      <c r="H48" s="161">
        <f t="shared" si="17"/>
        <v>4914.5944983114168</v>
      </c>
      <c r="I48" s="161">
        <f t="shared" si="17"/>
        <v>5246.1471433614497</v>
      </c>
      <c r="J48" s="161">
        <f t="shared" si="17"/>
        <v>5591.1189533136057</v>
      </c>
      <c r="K48" s="161">
        <f t="shared" si="17"/>
        <v>5970.7505141842194</v>
      </c>
      <c r="L48" s="161">
        <f t="shared" si="17"/>
        <v>6373.2110716387615</v>
      </c>
      <c r="M48" s="161">
        <f t="shared" si="17"/>
        <v>6807.9688143428648</v>
      </c>
      <c r="N48" s="161">
        <f t="shared" si="17"/>
        <v>7260.1283452706484</v>
      </c>
      <c r="O48" s="161">
        <f t="shared" si="17"/>
        <v>7757.951380040744</v>
      </c>
      <c r="P48" s="161">
        <f t="shared" si="17"/>
        <v>8285.8253472240685</v>
      </c>
      <c r="Q48" s="161">
        <f t="shared" si="17"/>
        <v>8856.3154980633954</v>
      </c>
      <c r="R48" s="161">
        <f t="shared" si="17"/>
        <v>9449.4681905529578</v>
      </c>
      <c r="S48" s="161">
        <f t="shared" si="17"/>
        <v>4389.529006307599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0</v>
      </c>
      <c r="X48" s="161">
        <f t="shared" si="17"/>
        <v>0</v>
      </c>
      <c r="Y48" s="161">
        <f t="shared" si="17"/>
        <v>0</v>
      </c>
      <c r="Z48" s="161">
        <f t="shared" si="17"/>
        <v>0</v>
      </c>
      <c r="AA48" s="161">
        <f t="shared" si="17"/>
        <v>0</v>
      </c>
      <c r="AB48" s="161">
        <f t="shared" si="17"/>
        <v>0</v>
      </c>
      <c r="AC48" s="161">
        <f t="shared" si="17"/>
        <v>0</v>
      </c>
      <c r="AD48" s="161">
        <f t="shared" si="17"/>
        <v>0</v>
      </c>
      <c r="AE48" s="161">
        <f t="shared" si="17"/>
        <v>0</v>
      </c>
      <c r="AF48" s="161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386" t="s">
        <v>129</v>
      </c>
      <c r="B49" s="376">
        <f>B36</f>
        <v>2993.6742719778904</v>
      </c>
      <c r="C49" s="376">
        <f t="shared" ref="C49:AF49" si="18">C27+C36+B44</f>
        <v>7012.9264167422762</v>
      </c>
      <c r="D49" s="376">
        <f t="shared" si="18"/>
        <v>6771.985501895424</v>
      </c>
      <c r="E49" s="376">
        <f t="shared" si="18"/>
        <v>6506.6006041473738</v>
      </c>
      <c r="F49" s="376">
        <f t="shared" si="18"/>
        <v>6208.8620758325605</v>
      </c>
      <c r="G49" s="376">
        <f t="shared" si="18"/>
        <v>5905.9947036893182</v>
      </c>
      <c r="H49" s="376">
        <f t="shared" si="18"/>
        <v>5578.1892607590935</v>
      </c>
      <c r="I49" s="376">
        <f t="shared" si="18"/>
        <v>5232.6461134838792</v>
      </c>
      <c r="J49" s="376">
        <f t="shared" si="18"/>
        <v>4851.8726758573439</v>
      </c>
      <c r="K49" s="376">
        <f t="shared" si="18"/>
        <v>4457.3973616563089</v>
      </c>
      <c r="L49" s="376">
        <f t="shared" si="18"/>
        <v>4032.5240096746784</v>
      </c>
      <c r="M49" s="376">
        <f t="shared" si="18"/>
        <v>3581.9740115589511</v>
      </c>
      <c r="N49" s="376">
        <f t="shared" si="18"/>
        <v>3092.3586191931281</v>
      </c>
      <c r="O49" s="376">
        <f t="shared" si="18"/>
        <v>2577.8197425745639</v>
      </c>
      <c r="P49" s="376">
        <f t="shared" si="18"/>
        <v>2025.6854457996392</v>
      </c>
      <c r="Q49" s="376">
        <f t="shared" si="18"/>
        <v>1437.4527639553198</v>
      </c>
      <c r="R49" s="376">
        <f t="shared" si="18"/>
        <v>805.05361420177485</v>
      </c>
      <c r="S49" s="376">
        <f t="shared" si="18"/>
        <v>153.2126014804351</v>
      </c>
      <c r="T49" s="376">
        <f t="shared" si="18"/>
        <v>0</v>
      </c>
      <c r="U49" s="376">
        <f t="shared" si="18"/>
        <v>0</v>
      </c>
      <c r="V49" s="376">
        <f t="shared" si="18"/>
        <v>0</v>
      </c>
      <c r="W49" s="376">
        <f t="shared" si="18"/>
        <v>0</v>
      </c>
      <c r="X49" s="376">
        <f t="shared" si="18"/>
        <v>0</v>
      </c>
      <c r="Y49" s="376">
        <f t="shared" si="18"/>
        <v>0</v>
      </c>
      <c r="Z49" s="376">
        <f t="shared" si="18"/>
        <v>0</v>
      </c>
      <c r="AA49" s="376">
        <f t="shared" si="18"/>
        <v>0</v>
      </c>
      <c r="AB49" s="376">
        <f t="shared" si="18"/>
        <v>0</v>
      </c>
      <c r="AC49" s="376">
        <f t="shared" si="18"/>
        <v>0</v>
      </c>
      <c r="AD49" s="376">
        <f t="shared" si="18"/>
        <v>0</v>
      </c>
      <c r="AE49" s="376">
        <f t="shared" si="18"/>
        <v>0</v>
      </c>
      <c r="AF49" s="376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4057.0567495313062</v>
      </c>
      <c r="C50" s="49">
        <f t="shared" si="19"/>
        <v>10360.997802067312</v>
      </c>
      <c r="D50" s="49">
        <f t="shared" si="19"/>
        <v>10573.203281858017</v>
      </c>
      <c r="E50" s="49">
        <f t="shared" si="19"/>
        <v>10560.877321072971</v>
      </c>
      <c r="F50" s="49">
        <f t="shared" si="19"/>
        <v>10526.603949694709</v>
      </c>
      <c r="G50" s="49">
        <f t="shared" si="19"/>
        <v>10513.489716778833</v>
      </c>
      <c r="H50" s="49">
        <f t="shared" si="19"/>
        <v>10492.783759070509</v>
      </c>
      <c r="I50" s="49">
        <f t="shared" si="19"/>
        <v>10478.793256845329</v>
      </c>
      <c r="J50" s="49">
        <f t="shared" si="19"/>
        <v>10442.991629170949</v>
      </c>
      <c r="K50" s="49">
        <f t="shared" si="19"/>
        <v>10428.147875840528</v>
      </c>
      <c r="L50" s="49">
        <f t="shared" si="19"/>
        <v>10405.73508131344</v>
      </c>
      <c r="M50" s="49">
        <f t="shared" si="19"/>
        <v>10389.942825901817</v>
      </c>
      <c r="N50" s="49">
        <f t="shared" si="19"/>
        <v>10352.486964463777</v>
      </c>
      <c r="O50" s="49">
        <f t="shared" si="19"/>
        <v>10335.771122615308</v>
      </c>
      <c r="P50" s="49">
        <f t="shared" si="19"/>
        <v>10311.510793023708</v>
      </c>
      <c r="Q50" s="49">
        <f t="shared" si="19"/>
        <v>10293.768262018715</v>
      </c>
      <c r="R50" s="49">
        <f t="shared" si="19"/>
        <v>10254.521804754733</v>
      </c>
      <c r="S50" s="49">
        <f t="shared" si="19"/>
        <v>4542.7416077880343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386</v>
      </c>
      <c r="B52" s="393">
        <f>IF(B33&gt;0.1,(B38+B29)/B50," ")</f>
        <v>1.2999999999999963</v>
      </c>
      <c r="C52" s="393">
        <f t="shared" ref="C52:AF52" si="20">IF(C33&gt;0.1,(C38+C29)/C50," ")</f>
        <v>1.3</v>
      </c>
      <c r="D52" s="393">
        <f t="shared" si="20"/>
        <v>1.3000000000000023</v>
      </c>
      <c r="E52" s="393">
        <f t="shared" si="20"/>
        <v>1.2999999999999998</v>
      </c>
      <c r="F52" s="393">
        <f t="shared" si="20"/>
        <v>1.3000000000000034</v>
      </c>
      <c r="G52" s="393">
        <f t="shared" si="20"/>
        <v>1.3000000000000005</v>
      </c>
      <c r="H52" s="393">
        <f t="shared" si="20"/>
        <v>1.2999999999999998</v>
      </c>
      <c r="I52" s="393">
        <f t="shared" si="20"/>
        <v>1.2999999999999998</v>
      </c>
      <c r="J52" s="393">
        <f t="shared" si="20"/>
        <v>1.3000000000000009</v>
      </c>
      <c r="K52" s="393">
        <f t="shared" si="20"/>
        <v>1.3000000000000003</v>
      </c>
      <c r="L52" s="393">
        <f t="shared" si="20"/>
        <v>1.2999999999999994</v>
      </c>
      <c r="M52" s="393">
        <f t="shared" si="20"/>
        <v>1.3000000000000012</v>
      </c>
      <c r="N52" s="393">
        <f t="shared" si="20"/>
        <v>1.3000000000000012</v>
      </c>
      <c r="O52" s="393">
        <f t="shared" si="20"/>
        <v>1.2999999999999994</v>
      </c>
      <c r="P52" s="452">
        <f t="shared" si="20"/>
        <v>1.2999999999999996</v>
      </c>
      <c r="Q52" s="393">
        <f t="shared" si="20"/>
        <v>1.3000000000000005</v>
      </c>
      <c r="R52" s="393">
        <f t="shared" si="20"/>
        <v>1.2999999999999998</v>
      </c>
      <c r="S52" s="393" t="str">
        <f t="shared" si="20"/>
        <v xml:space="preserve"> </v>
      </c>
      <c r="T52" s="393" t="str">
        <f t="shared" si="20"/>
        <v xml:space="preserve"> </v>
      </c>
      <c r="U52" s="393" t="str">
        <f t="shared" si="20"/>
        <v xml:space="preserve"> </v>
      </c>
      <c r="V52" s="393" t="str">
        <f t="shared" si="20"/>
        <v xml:space="preserve"> </v>
      </c>
      <c r="W52" s="393" t="str">
        <f t="shared" si="20"/>
        <v xml:space="preserve"> </v>
      </c>
      <c r="X52" s="393" t="str">
        <f t="shared" si="20"/>
        <v xml:space="preserve"> </v>
      </c>
      <c r="Y52" s="393" t="str">
        <f t="shared" si="20"/>
        <v xml:space="preserve"> </v>
      </c>
      <c r="Z52" s="393" t="str">
        <f t="shared" si="20"/>
        <v xml:space="preserve"> </v>
      </c>
      <c r="AA52" s="393" t="str">
        <f t="shared" si="20"/>
        <v xml:space="preserve"> </v>
      </c>
      <c r="AB52" s="393" t="str">
        <f t="shared" si="20"/>
        <v xml:space="preserve"> </v>
      </c>
      <c r="AC52" s="393" t="str">
        <f t="shared" si="20"/>
        <v xml:space="preserve"> </v>
      </c>
      <c r="AD52" s="393" t="str">
        <f t="shared" si="20"/>
        <v xml:space="preserve"> </v>
      </c>
      <c r="AE52" s="393" t="str">
        <f t="shared" si="20"/>
        <v xml:space="preserve"> </v>
      </c>
      <c r="AF52" s="452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398"/>
      <c r="D53" s="398"/>
      <c r="E53" s="398"/>
      <c r="F53" s="398"/>
      <c r="G53" s="398"/>
      <c r="H53" s="398"/>
      <c r="I53" s="398"/>
      <c r="J53" s="398"/>
      <c r="K53" s="398"/>
      <c r="L53" s="398"/>
      <c r="M53" s="398"/>
      <c r="N53" s="398"/>
      <c r="O53" s="398"/>
      <c r="P53" s="398"/>
      <c r="Q53" s="398"/>
      <c r="R53" s="398"/>
      <c r="S53" s="398"/>
      <c r="T53" s="398"/>
      <c r="U53" s="398"/>
      <c r="V53" s="398"/>
      <c r="W53" s="398"/>
      <c r="X53" s="398"/>
      <c r="Y53" s="398"/>
      <c r="Z53" s="398"/>
      <c r="AA53" s="398"/>
      <c r="AB53" s="398"/>
      <c r="AC53" s="398"/>
      <c r="AD53" s="398"/>
      <c r="AE53" s="398"/>
      <c r="AF53" s="39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398"/>
      <c r="Z54" s="398"/>
      <c r="AA54" s="398"/>
      <c r="AB54" s="398"/>
      <c r="AC54" s="398"/>
      <c r="AD54" s="398"/>
      <c r="AE54" s="398"/>
      <c r="AF54" s="398"/>
      <c r="AG54" s="50"/>
      <c r="AH54" s="50"/>
      <c r="AI54" s="50"/>
      <c r="AJ54" s="50"/>
      <c r="AK54" s="50"/>
      <c r="AL54" s="50"/>
      <c r="AM54" s="50"/>
    </row>
    <row r="55" spans="1:39">
      <c r="A55" s="386" t="s">
        <v>370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72"/>
      <c r="AA55" s="372"/>
      <c r="AB55" s="372"/>
      <c r="AC55" s="372"/>
      <c r="AD55" s="372"/>
      <c r="AE55" s="372"/>
      <c r="AF55" s="372"/>
    </row>
    <row r="56" spans="1:39">
      <c r="A56" s="48" t="s">
        <v>130</v>
      </c>
      <c r="B56" s="161">
        <f t="shared" ref="B56:AF56" si="21">B35+B26</f>
        <v>1063.3824775534158</v>
      </c>
      <c r="C56" s="161">
        <f t="shared" si="21"/>
        <v>3348.0713853250345</v>
      </c>
      <c r="D56" s="161">
        <f t="shared" si="21"/>
        <v>3801.2177799625933</v>
      </c>
      <c r="E56" s="161">
        <f t="shared" si="21"/>
        <v>4054.2767169255967</v>
      </c>
      <c r="F56" s="161">
        <f t="shared" si="21"/>
        <v>4317.7418738621491</v>
      </c>
      <c r="G56" s="161">
        <f t="shared" si="21"/>
        <v>4607.4950130895159</v>
      </c>
      <c r="H56" s="161">
        <f t="shared" si="21"/>
        <v>4914.5944983114168</v>
      </c>
      <c r="I56" s="161">
        <f t="shared" si="21"/>
        <v>5246.1471433614497</v>
      </c>
      <c r="J56" s="161">
        <f t="shared" si="21"/>
        <v>5591.1189533136057</v>
      </c>
      <c r="K56" s="161">
        <f t="shared" si="21"/>
        <v>5970.7505141842194</v>
      </c>
      <c r="L56" s="161">
        <f t="shared" si="21"/>
        <v>6373.2110716387615</v>
      </c>
      <c r="M56" s="161">
        <f t="shared" si="21"/>
        <v>6807.9688143428648</v>
      </c>
      <c r="N56" s="161">
        <f t="shared" si="21"/>
        <v>7260.1283452706484</v>
      </c>
      <c r="O56" s="161">
        <f t="shared" si="21"/>
        <v>7757.951380040744</v>
      </c>
      <c r="P56" s="161">
        <f t="shared" si="21"/>
        <v>8285.8253472240685</v>
      </c>
      <c r="Q56" s="161">
        <f t="shared" si="21"/>
        <v>8856.3154980633954</v>
      </c>
      <c r="R56" s="161">
        <f t="shared" si="21"/>
        <v>9449.4681905529578</v>
      </c>
      <c r="S56" s="161">
        <f t="shared" si="21"/>
        <v>4389.529006307599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0</v>
      </c>
      <c r="X56" s="161">
        <f t="shared" si="21"/>
        <v>0</v>
      </c>
      <c r="Y56" s="161">
        <f t="shared" si="21"/>
        <v>0</v>
      </c>
      <c r="Z56" s="161">
        <f t="shared" si="21"/>
        <v>0</v>
      </c>
      <c r="AA56" s="161">
        <f t="shared" si="21"/>
        <v>0</v>
      </c>
      <c r="AB56" s="161">
        <f t="shared" si="21"/>
        <v>0</v>
      </c>
      <c r="AC56" s="161">
        <f t="shared" si="21"/>
        <v>0</v>
      </c>
      <c r="AD56" s="161">
        <f t="shared" si="21"/>
        <v>0</v>
      </c>
      <c r="AE56" s="161">
        <f t="shared" si="21"/>
        <v>0</v>
      </c>
      <c r="AF56" s="161">
        <f t="shared" si="21"/>
        <v>0</v>
      </c>
    </row>
    <row r="57" spans="1:39">
      <c r="A57" s="386" t="s">
        <v>129</v>
      </c>
      <c r="B57" s="376">
        <f t="shared" ref="B57:AF57" si="22">B36+B44+B27</f>
        <v>4755.6801294930638</v>
      </c>
      <c r="C57" s="376">
        <f t="shared" si="22"/>
        <v>6955.7025447966826</v>
      </c>
      <c r="D57" s="376">
        <f t="shared" si="22"/>
        <v>6705.6464409136115</v>
      </c>
      <c r="E57" s="376">
        <f t="shared" si="22"/>
        <v>6431.5618456462707</v>
      </c>
      <c r="F57" s="376">
        <f t="shared" si="22"/>
        <v>6137.7919071464912</v>
      </c>
      <c r="G57" s="376">
        <f t="shared" si="22"/>
        <v>5825.5844482554003</v>
      </c>
      <c r="H57" s="376">
        <f t="shared" si="22"/>
        <v>5492.4194882817137</v>
      </c>
      <c r="I57" s="376">
        <f t="shared" si="22"/>
        <v>5137.7168477114701</v>
      </c>
      <c r="J57" s="376">
        <f t="shared" si="22"/>
        <v>4757.6693798877795</v>
      </c>
      <c r="K57" s="376">
        <f t="shared" si="22"/>
        <v>4353.195496518354</v>
      </c>
      <c r="L57" s="376">
        <f t="shared" si="22"/>
        <v>3921.2983808353938</v>
      </c>
      <c r="M57" s="376">
        <f t="shared" si="22"/>
        <v>3460.9675764192407</v>
      </c>
      <c r="N57" s="376">
        <f t="shared" si="22"/>
        <v>2967.8478518486245</v>
      </c>
      <c r="O57" s="376">
        <f t="shared" si="22"/>
        <v>2442.4275499968662</v>
      </c>
      <c r="P57" s="376">
        <f t="shared" si="22"/>
        <v>1881.0807678220574</v>
      </c>
      <c r="Q57" s="376">
        <f t="shared" si="22"/>
        <v>1282.2319727985046</v>
      </c>
      <c r="R57" s="376">
        <f t="shared" si="22"/>
        <v>640.80086536821716</v>
      </c>
      <c r="S57" s="376">
        <f t="shared" si="22"/>
        <v>76.606300740217549</v>
      </c>
      <c r="T57" s="376">
        <f t="shared" si="22"/>
        <v>0</v>
      </c>
      <c r="U57" s="376">
        <f t="shared" si="22"/>
        <v>0</v>
      </c>
      <c r="V57" s="376">
        <f t="shared" si="22"/>
        <v>0</v>
      </c>
      <c r="W57" s="376">
        <f t="shared" si="22"/>
        <v>0</v>
      </c>
      <c r="X57" s="376">
        <f t="shared" si="22"/>
        <v>0</v>
      </c>
      <c r="Y57" s="376">
        <f t="shared" si="22"/>
        <v>0</v>
      </c>
      <c r="Z57" s="376">
        <f t="shared" si="22"/>
        <v>0</v>
      </c>
      <c r="AA57" s="376">
        <f t="shared" si="22"/>
        <v>0</v>
      </c>
      <c r="AB57" s="376">
        <f t="shared" si="22"/>
        <v>0</v>
      </c>
      <c r="AC57" s="376">
        <f t="shared" si="22"/>
        <v>0</v>
      </c>
      <c r="AD57" s="376">
        <f t="shared" si="22"/>
        <v>0</v>
      </c>
      <c r="AE57" s="376">
        <f t="shared" si="22"/>
        <v>0</v>
      </c>
      <c r="AF57" s="376">
        <f t="shared" si="22"/>
        <v>0</v>
      </c>
    </row>
    <row r="58" spans="1:39">
      <c r="A58" s="49" t="s">
        <v>58</v>
      </c>
      <c r="B58" s="49">
        <f>SUM(B56:B57)</f>
        <v>5819.0626070464796</v>
      </c>
      <c r="C58" s="49">
        <f t="shared" ref="C58:AF58" si="23">SUM(C56:C57)</f>
        <v>10303.773930121717</v>
      </c>
      <c r="D58" s="49">
        <f t="shared" si="23"/>
        <v>10506.864220876205</v>
      </c>
      <c r="E58" s="49">
        <f t="shared" si="23"/>
        <v>10485.838562571867</v>
      </c>
      <c r="F58" s="49">
        <f t="shared" si="23"/>
        <v>10455.53378100864</v>
      </c>
      <c r="G58" s="49">
        <f t="shared" si="23"/>
        <v>10433.079461344916</v>
      </c>
      <c r="H58" s="49">
        <f t="shared" si="23"/>
        <v>10407.013986593131</v>
      </c>
      <c r="I58" s="49">
        <f t="shared" si="23"/>
        <v>10383.86399107292</v>
      </c>
      <c r="J58" s="49">
        <f t="shared" si="23"/>
        <v>10348.788333201384</v>
      </c>
      <c r="K58" s="49">
        <f t="shared" si="23"/>
        <v>10323.946010702573</v>
      </c>
      <c r="L58" s="49">
        <f t="shared" si="23"/>
        <v>10294.509452474154</v>
      </c>
      <c r="M58" s="49">
        <f t="shared" si="23"/>
        <v>10268.936390762105</v>
      </c>
      <c r="N58" s="49">
        <f t="shared" si="23"/>
        <v>10227.976197119273</v>
      </c>
      <c r="O58" s="49">
        <f t="shared" si="23"/>
        <v>10200.37893003761</v>
      </c>
      <c r="P58" s="49">
        <f t="shared" si="23"/>
        <v>10166.906115046126</v>
      </c>
      <c r="Q58" s="49">
        <f t="shared" si="23"/>
        <v>10138.5474708619</v>
      </c>
      <c r="R58" s="49">
        <f t="shared" si="23"/>
        <v>10090.269055921175</v>
      </c>
      <c r="S58" s="49">
        <f t="shared" si="23"/>
        <v>4466.1353070478162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  <c r="X59" s="398"/>
      <c r="Y59" s="398"/>
      <c r="Z59" s="398"/>
      <c r="AA59" s="398"/>
      <c r="AB59" s="398"/>
      <c r="AC59" s="398"/>
      <c r="AD59" s="398"/>
      <c r="AE59" s="398"/>
      <c r="AF59" s="39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399"/>
      <c r="AB60" s="399"/>
      <c r="AC60" s="399"/>
      <c r="AD60" s="399"/>
      <c r="AE60" s="399"/>
      <c r="AF60" s="399"/>
      <c r="AG60" s="50"/>
      <c r="AH60" s="50"/>
      <c r="AI60" s="50"/>
      <c r="AJ60" s="50"/>
      <c r="AK60" s="50"/>
      <c r="AL60" s="50"/>
      <c r="AM60" s="50"/>
    </row>
    <row r="61" spans="1:39">
      <c r="B61" s="599" t="s">
        <v>313</v>
      </c>
      <c r="C61" s="600"/>
      <c r="D61" s="600"/>
      <c r="E61" s="601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43" t="s">
        <v>374</v>
      </c>
      <c r="C62" s="57"/>
      <c r="D62" s="57"/>
      <c r="E62" s="444">
        <f>Assumptions!G37</f>
        <v>0.06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47">
        <f>Assumptions!G38</f>
        <v>0.01</v>
      </c>
      <c r="AA63" s="12"/>
      <c r="AB63" s="12"/>
    </row>
    <row r="64" spans="1:39">
      <c r="A64" s="48"/>
      <c r="B64" s="323" t="s">
        <v>375</v>
      </c>
      <c r="C64" s="58"/>
      <c r="D64" s="58"/>
      <c r="E64" s="389">
        <f>E63+E62</f>
        <v>6.9999999999999993E-2</v>
      </c>
      <c r="AA64" s="12"/>
      <c r="AB64" s="12"/>
    </row>
    <row r="65" spans="1:43">
      <c r="B65" s="391" t="s">
        <v>373</v>
      </c>
      <c r="C65" s="57"/>
      <c r="D65" s="57"/>
      <c r="E65" s="390">
        <f>Assumptions!G33</f>
        <v>30</v>
      </c>
      <c r="AA65" s="12"/>
      <c r="AB65" s="12"/>
    </row>
    <row r="66" spans="1:43">
      <c r="B66" s="432" t="s">
        <v>372</v>
      </c>
      <c r="C66" s="13"/>
      <c r="D66" s="13"/>
      <c r="E66" s="445">
        <f>B77</f>
        <v>10.335825363057994</v>
      </c>
      <c r="AA66" s="12"/>
      <c r="AB66" s="12"/>
    </row>
    <row r="67" spans="1:43">
      <c r="B67" s="323" t="s">
        <v>53</v>
      </c>
      <c r="C67" s="58"/>
      <c r="D67" s="58"/>
      <c r="E67" s="433">
        <f>B33</f>
        <v>102095.19400933004</v>
      </c>
      <c r="AA67" s="12"/>
      <c r="AB67" s="12"/>
    </row>
    <row r="68" spans="1:43">
      <c r="B68" s="320" t="s">
        <v>0</v>
      </c>
      <c r="C68" s="57"/>
      <c r="D68" s="57" t="s">
        <v>368</v>
      </c>
      <c r="E68" s="448">
        <f>AVERAGE(B52:AF52)</f>
        <v>1.3000000000000005</v>
      </c>
      <c r="AA68" s="12"/>
      <c r="AB68" s="12"/>
    </row>
    <row r="69" spans="1:43">
      <c r="B69" s="446"/>
      <c r="C69" s="58"/>
      <c r="D69" s="58" t="s">
        <v>369</v>
      </c>
      <c r="E69" s="449">
        <f>MIN(B52:AF52)</f>
        <v>1.2999999999999963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50">
        <f>(SUMPRODUCT(B74:AF74,B35:AF35)+SUMPRODUCT(B75:AF75,B26:AF26))/E67</f>
        <v>10.335825363057994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4"/>
      <c r="AB79" s="37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0" zoomScale="75" zoomScaleNormal="75" workbookViewId="0">
      <selection activeCell="D48" sqref="D48"/>
    </sheetView>
  </sheetViews>
  <sheetFormatPr defaultRowHeight="12.75"/>
  <cols>
    <col min="1" max="1" width="55.7109375" style="12" customWidth="1"/>
    <col min="2" max="2" width="11.855468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New Orleans, Louisiana</v>
      </c>
    </row>
    <row r="4" spans="1:34" ht="18.75">
      <c r="A4" s="60" t="s">
        <v>93</v>
      </c>
    </row>
    <row r="5" spans="1:34">
      <c r="Z5" s="164"/>
    </row>
    <row r="6" spans="1:34"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3">
        <f>IS!C8</f>
        <v>37256</v>
      </c>
      <c r="E8" s="203">
        <f>IS!D8</f>
        <v>37621</v>
      </c>
      <c r="F8" s="203">
        <f>IS!E8</f>
        <v>37986</v>
      </c>
      <c r="G8" s="203">
        <f>IS!F8</f>
        <v>38352</v>
      </c>
      <c r="H8" s="203">
        <f>IS!G8</f>
        <v>38717</v>
      </c>
      <c r="I8" s="203">
        <f>IS!H8</f>
        <v>39082</v>
      </c>
      <c r="J8" s="203">
        <f>IS!I8</f>
        <v>39447</v>
      </c>
      <c r="K8" s="203">
        <f>IS!J8</f>
        <v>39813</v>
      </c>
      <c r="L8" s="203">
        <f>IS!K8</f>
        <v>40178</v>
      </c>
      <c r="M8" s="203">
        <f>IS!L8</f>
        <v>40543</v>
      </c>
      <c r="N8" s="203">
        <f>IS!M8</f>
        <v>40908</v>
      </c>
      <c r="O8" s="203">
        <f>IS!N8</f>
        <v>41274</v>
      </c>
      <c r="P8" s="203">
        <f>IS!O8</f>
        <v>41639</v>
      </c>
      <c r="Q8" s="203">
        <f>IS!P8</f>
        <v>42004</v>
      </c>
      <c r="R8" s="203">
        <f>IS!Q8</f>
        <v>42369</v>
      </c>
      <c r="S8" s="203">
        <f>IS!R8</f>
        <v>42735</v>
      </c>
      <c r="T8" s="203">
        <f>IS!S8</f>
        <v>43100</v>
      </c>
      <c r="U8" s="203">
        <f>IS!T8</f>
        <v>43465</v>
      </c>
      <c r="V8" s="203">
        <f>IS!U8</f>
        <v>43830</v>
      </c>
      <c r="W8" s="203">
        <f>IS!V8</f>
        <v>44196</v>
      </c>
      <c r="X8" s="203">
        <f>IS!W8</f>
        <v>44561</v>
      </c>
      <c r="Y8" s="203">
        <f>IS!X8</f>
        <v>44926</v>
      </c>
      <c r="Z8" s="203">
        <f>IS!Y8</f>
        <v>45291</v>
      </c>
      <c r="AA8" s="203">
        <f>IS!Z8</f>
        <v>45657</v>
      </c>
      <c r="AB8" s="203">
        <f>IS!AA8</f>
        <v>46022</v>
      </c>
      <c r="AC8" s="203">
        <f>IS!AB8</f>
        <v>46387</v>
      </c>
      <c r="AD8" s="203">
        <f>IS!AC8</f>
        <v>46752</v>
      </c>
      <c r="AE8" s="203">
        <f>IS!AD8</f>
        <v>47118</v>
      </c>
      <c r="AF8" s="203">
        <f>IS!AE8</f>
        <v>47483</v>
      </c>
      <c r="AG8" s="203">
        <f>IS!AF8</f>
        <v>47848</v>
      </c>
      <c r="AH8" s="203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236</v>
      </c>
      <c r="B12" s="31">
        <f>Assumptions!$N$39</f>
        <v>15</v>
      </c>
      <c r="C12" s="32"/>
      <c r="D12" s="271">
        <v>0.05</v>
      </c>
      <c r="E12" s="271">
        <v>9.5000000000000001E-2</v>
      </c>
      <c r="F12" s="271">
        <v>8.5500000000000007E-2</v>
      </c>
      <c r="G12" s="271">
        <v>7.6999999999999999E-2</v>
      </c>
      <c r="H12" s="271">
        <v>6.93E-2</v>
      </c>
      <c r="I12" s="271">
        <v>6.2300000000000001E-2</v>
      </c>
      <c r="J12" s="271">
        <v>5.8999999999999997E-2</v>
      </c>
      <c r="K12" s="271">
        <v>5.91E-2</v>
      </c>
      <c r="L12" s="271">
        <v>5.8999999999999997E-2</v>
      </c>
      <c r="M12" s="271">
        <v>5.91E-2</v>
      </c>
      <c r="N12" s="271">
        <v>5.8999999999999997E-2</v>
      </c>
      <c r="O12" s="271">
        <v>5.91E-2</v>
      </c>
      <c r="P12" s="271">
        <v>5.8999999999999997E-2</v>
      </c>
      <c r="Q12" s="271">
        <v>5.91E-2</v>
      </c>
      <c r="R12" s="271">
        <v>5.8999999999999997E-2</v>
      </c>
      <c r="S12" s="271">
        <v>2.9499999999999998E-2</v>
      </c>
      <c r="T12" s="271">
        <v>0</v>
      </c>
      <c r="U12" s="271">
        <v>0</v>
      </c>
      <c r="V12" s="271">
        <v>0</v>
      </c>
      <c r="W12" s="271">
        <v>0</v>
      </c>
      <c r="X12" s="271">
        <v>0</v>
      </c>
      <c r="Y12" s="271">
        <v>0</v>
      </c>
      <c r="Z12" s="271">
        <v>0</v>
      </c>
      <c r="AA12" s="271">
        <v>0</v>
      </c>
      <c r="AB12" s="271">
        <v>0</v>
      </c>
      <c r="AC12" s="271">
        <v>0</v>
      </c>
      <c r="AD12" s="271">
        <v>0</v>
      </c>
      <c r="AE12" s="271">
        <v>0</v>
      </c>
      <c r="AF12" s="271">
        <v>0</v>
      </c>
      <c r="AG12" s="271">
        <v>0</v>
      </c>
      <c r="AH12" s="271">
        <v>0</v>
      </c>
    </row>
    <row r="13" spans="1:34" s="10" customFormat="1">
      <c r="A13" s="21" t="s">
        <v>237</v>
      </c>
      <c r="B13" s="31">
        <f>Assumptions!$N$40</f>
        <v>5</v>
      </c>
      <c r="C13" s="32"/>
      <c r="D13" s="271">
        <f>1/$B$13*D6</f>
        <v>0.13333333333333333</v>
      </c>
      <c r="E13" s="271">
        <f>1/$B$13</f>
        <v>0.2</v>
      </c>
      <c r="F13" s="271">
        <f>1/$B$13</f>
        <v>0.2</v>
      </c>
      <c r="G13" s="271">
        <f>1/$B$13</f>
        <v>0.2</v>
      </c>
      <c r="H13" s="271">
        <f>1/$B$13</f>
        <v>0.2</v>
      </c>
      <c r="I13" s="271">
        <f>1/B13-D13</f>
        <v>6.666666666666668E-2</v>
      </c>
      <c r="J13" s="271">
        <v>0</v>
      </c>
      <c r="K13" s="271">
        <v>0</v>
      </c>
      <c r="L13" s="271">
        <v>0</v>
      </c>
      <c r="M13" s="271">
        <v>0</v>
      </c>
      <c r="N13" s="271">
        <v>0</v>
      </c>
      <c r="O13" s="271">
        <v>0</v>
      </c>
      <c r="P13" s="271">
        <v>0</v>
      </c>
      <c r="Q13" s="271">
        <v>0</v>
      </c>
      <c r="R13" s="271">
        <v>0</v>
      </c>
      <c r="S13" s="271">
        <v>0</v>
      </c>
      <c r="T13" s="271">
        <v>0</v>
      </c>
      <c r="U13" s="271">
        <v>0</v>
      </c>
      <c r="V13" s="271">
        <v>0</v>
      </c>
      <c r="W13" s="271">
        <v>0</v>
      </c>
      <c r="X13" s="271">
        <v>0</v>
      </c>
      <c r="Y13" s="271">
        <v>0</v>
      </c>
      <c r="Z13" s="271">
        <v>0</v>
      </c>
      <c r="AA13" s="271">
        <v>0</v>
      </c>
      <c r="AB13" s="271">
        <v>0</v>
      </c>
      <c r="AC13" s="271">
        <v>0</v>
      </c>
      <c r="AD13" s="271">
        <v>0</v>
      </c>
      <c r="AE13" s="271">
        <v>0</v>
      </c>
      <c r="AF13" s="271">
        <v>0</v>
      </c>
      <c r="AG13" s="271">
        <v>0</v>
      </c>
      <c r="AH13" s="271">
        <v>0</v>
      </c>
    </row>
    <row r="14" spans="1:34" s="70" customFormat="1">
      <c r="A14" s="22" t="s">
        <v>303</v>
      </c>
      <c r="B14" s="68">
        <f>Assumptions!$N$41</f>
        <v>20</v>
      </c>
      <c r="C14" s="69"/>
      <c r="D14" s="271">
        <f>1/Assumptions!$N$41*D6</f>
        <v>3.3333333333333333E-2</v>
      </c>
      <c r="E14" s="271">
        <f>IF(AND(E6&gt;=Assumptions!$N$41,D6&lt;Assumptions!$N$41),1/Assumptions!$N$41-Depreciation!$D$14,IF(E6&lt;Assumptions!$N$41,1/Assumptions!$N$41,0))</f>
        <v>0.05</v>
      </c>
      <c r="F14" s="271">
        <f>IF(AND(F6&gt;=Assumptions!$N$41,E6&lt;Assumptions!$N$41),1/Assumptions!$N$41-Depreciation!$D$14,IF(F6&lt;Assumptions!$N$41,1/Assumptions!$N$41,0))</f>
        <v>0.05</v>
      </c>
      <c r="G14" s="271">
        <f>IF(AND(G6&gt;=Assumptions!$N$41,F6&lt;Assumptions!$N$41),1/Assumptions!$N$41-Depreciation!$D$14,IF(G6&lt;Assumptions!$N$41,1/Assumptions!$N$41,0))</f>
        <v>0.05</v>
      </c>
      <c r="H14" s="271">
        <f>IF(AND(H6&gt;=Assumptions!$N$41,G6&lt;Assumptions!$N$41),1/Assumptions!$N$41-Depreciation!$D$14,IF(H6&lt;Assumptions!$N$41,1/Assumptions!$N$41,0))</f>
        <v>0.05</v>
      </c>
      <c r="I14" s="271">
        <f>IF(AND(I6&gt;=Assumptions!$N$41,H6&lt;Assumptions!$N$41),1/Assumptions!$N$41-Depreciation!$D$14,IF(I6&lt;Assumptions!$N$41,1/Assumptions!$N$41,0))</f>
        <v>0.05</v>
      </c>
      <c r="J14" s="271">
        <f>IF(AND(J6&gt;=Assumptions!$N$41,I6&lt;Assumptions!$N$41),1/Assumptions!$N$41-Depreciation!$D$14,IF(J6&lt;Assumptions!$N$41,1/Assumptions!$N$41,0))</f>
        <v>0.05</v>
      </c>
      <c r="K14" s="271">
        <f>IF(AND(K6&gt;=Assumptions!$N$41,J6&lt;Assumptions!$N$41),1/Assumptions!$N$41-Depreciation!$D$14,IF(K6&lt;Assumptions!$N$41,1/Assumptions!$N$41,0))</f>
        <v>0.05</v>
      </c>
      <c r="L14" s="271">
        <f>IF(AND(L6&gt;=Assumptions!$N$41,K6&lt;Assumptions!$N$41),1/Assumptions!$N$41-Depreciation!$D$14,IF(L6&lt;Assumptions!$N$41,1/Assumptions!$N$41,0))</f>
        <v>0.05</v>
      </c>
      <c r="M14" s="271">
        <f>IF(AND(M6&gt;=Assumptions!$N$41,L6&lt;Assumptions!$N$41),1/Assumptions!$N$41-Depreciation!$D$14,IF(M6&lt;Assumptions!$N$41,1/Assumptions!$N$41,0))</f>
        <v>0.05</v>
      </c>
      <c r="N14" s="271">
        <f>IF(AND(N6&gt;=Assumptions!$N$41,M6&lt;Assumptions!$N$41),1/Assumptions!$N$41-Depreciation!$D$14,IF(N6&lt;Assumptions!$N$41,1/Assumptions!$N$41,0))</f>
        <v>0.05</v>
      </c>
      <c r="O14" s="271">
        <f>IF(AND(O6&gt;=Assumptions!$N$41,N6&lt;Assumptions!$N$41),1/Assumptions!$N$41-Depreciation!$D$14,IF(O6&lt;Assumptions!$N$41,1/Assumptions!$N$41,0))</f>
        <v>0.05</v>
      </c>
      <c r="P14" s="271">
        <f>IF(AND(P6&gt;=Assumptions!$N$41,O6&lt;Assumptions!$N$41),1/Assumptions!$N$41-Depreciation!$D$14,IF(P6&lt;Assumptions!$N$41,1/Assumptions!$N$41,0))</f>
        <v>0.05</v>
      </c>
      <c r="Q14" s="271">
        <f>IF(AND(Q6&gt;=Assumptions!$N$41,P6&lt;Assumptions!$N$41),1/Assumptions!$N$41-Depreciation!$D$14,IF(Q6&lt;Assumptions!$N$41,1/Assumptions!$N$41,0))</f>
        <v>0.05</v>
      </c>
      <c r="R14" s="271">
        <f>IF(AND(R6&gt;=Assumptions!$N$41,Q6&lt;Assumptions!$N$41),1/Assumptions!$N$41-Depreciation!$D$14,IF(R6&lt;Assumptions!$N$41,1/Assumptions!$N$41,0))</f>
        <v>0.05</v>
      </c>
      <c r="S14" s="271">
        <f>IF(AND(S6&gt;=Assumptions!$N$41,R6&lt;Assumptions!$N$41),1/Assumptions!$N$41-Depreciation!$D$14,IF(S6&lt;Assumptions!$N$41,1/Assumptions!$N$41,0))</f>
        <v>0.05</v>
      </c>
      <c r="T14" s="271">
        <f>IF(AND(T6&gt;=Assumptions!$N$41,S6&lt;Assumptions!$N$41),1/Assumptions!$N$41-Depreciation!$D$14,IF(T6&lt;Assumptions!$N$41,1/Assumptions!$N$41,0))</f>
        <v>0.05</v>
      </c>
      <c r="U14" s="271">
        <f>IF(AND(U6&gt;=Assumptions!$N$41,T6&lt;Assumptions!$N$41),1/Assumptions!$N$41-Depreciation!$D$14,IF(U6&lt;Assumptions!$N$41,1/Assumptions!$N$41,0))</f>
        <v>0.05</v>
      </c>
      <c r="V14" s="271">
        <f>IF(AND(V6&gt;=Assumptions!$N$41,U6&lt;Assumptions!$N$41),1/Assumptions!$N$41-Depreciation!$D$14,IF(V6&lt;Assumptions!$N$41,1/Assumptions!$N$41,0))</f>
        <v>0.05</v>
      </c>
      <c r="W14" s="271">
        <f>IF(AND(W6&gt;=Assumptions!$N$41,V6&lt;Assumptions!$N$41),1/Assumptions!$N$41-Depreciation!$D$14,IF(W6&lt;Assumptions!$N$41,1/Assumptions!$N$41,0))</f>
        <v>0.05</v>
      </c>
      <c r="X14" s="271">
        <f>IF(AND(X6&gt;=Assumptions!$N$41,W6&lt;Assumptions!$N$41),1/Assumptions!$N$41-Depreciation!$D$14,IF(X6&lt;Assumptions!$N$41,1/Assumptions!$N$41,0))</f>
        <v>1.666666666666667E-2</v>
      </c>
      <c r="Y14" s="271">
        <f>IF(AND(Y6&gt;=Assumptions!$N$41,X6&lt;Assumptions!$N$41),1/Assumptions!$N$41-Depreciation!$D$14,IF(Y6&lt;Assumptions!$N$41,1/Assumptions!$N$41,0))</f>
        <v>0</v>
      </c>
      <c r="Z14" s="271">
        <f>IF(AND(Z6&gt;=Assumptions!$N$41,Y6&lt;Assumptions!$N$41),1/Assumptions!$N$41-Depreciation!$D$14,IF(Z6&lt;Assumptions!$N$41,1/Assumptions!$N$41,0))</f>
        <v>0</v>
      </c>
      <c r="AA14" s="271">
        <f>IF(AND(AA6&gt;=Assumptions!$N$41,Z6&lt;Assumptions!$N$41),1/Assumptions!$N$41-Depreciation!$D$14,IF(AA6&lt;Assumptions!$N$41,1/Assumptions!$N$41,0))</f>
        <v>0</v>
      </c>
      <c r="AB14" s="271">
        <f>IF(AND(AB6&gt;=Assumptions!$N$41,AA6&lt;Assumptions!$N$41),1/Assumptions!$N$41-Depreciation!$D$14,IF(AB6&lt;Assumptions!$N$41,1/Assumptions!$N$41,0))</f>
        <v>0</v>
      </c>
      <c r="AC14" s="271">
        <f>IF(AND(AC6&gt;=Assumptions!$N$41,AB6&lt;Assumptions!$N$41),1/Assumptions!$N$41-Depreciation!$D$14,IF(AC6&lt;Assumptions!$N$41,1/Assumptions!$N$41,0))</f>
        <v>0</v>
      </c>
      <c r="AD14" s="271">
        <f>IF(AND(AD6&gt;=Assumptions!$N$41,AC6&lt;Assumptions!$N$41),1/Assumptions!$N$41-Depreciation!$D$14,IF(AD6&lt;Assumptions!$N$41,1/Assumptions!$N$41,0))</f>
        <v>0</v>
      </c>
      <c r="AE14" s="271">
        <f>IF(AND(AE6&gt;=Assumptions!$N$41,AD6&lt;Assumptions!$N$41),1/Assumptions!$N$41-Depreciation!$D$14,IF(AE6&lt;Assumptions!$N$41,1/Assumptions!$N$41,0))</f>
        <v>0</v>
      </c>
      <c r="AF14" s="271">
        <f>IF(AND(AF6&gt;=Assumptions!$N$41,AE6&lt;Assumptions!$N$41),1/Assumptions!$N$41-Depreciation!$D$14,IF(AF6&lt;Assumptions!$N$41,1/Assumptions!$N$41,0))</f>
        <v>0</v>
      </c>
      <c r="AG14" s="271">
        <f>IF(AND(AG6&gt;=Assumptions!$N$41,AF6&lt;Assumptions!$N$41),1/Assumptions!$N$41-Depreciation!$D$14,IF(AG6&lt;Assumptions!$N$41,1/Assumptions!$N$41,0))</f>
        <v>0</v>
      </c>
      <c r="AH14" s="271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236</v>
      </c>
      <c r="B16" s="364">
        <f>Assumptions!C34+Assumptions!C48+Assumptions!C40</f>
        <v>139115.34835618577</v>
      </c>
      <c r="C16" s="293"/>
      <c r="D16" s="18">
        <f>$B$16*D12</f>
        <v>6955.7674178092893</v>
      </c>
      <c r="E16" s="18">
        <f t="shared" ref="E16:Y16" si="0">$B$16*E12</f>
        <v>13215.958093837649</v>
      </c>
      <c r="F16" s="18">
        <f t="shared" si="0"/>
        <v>11894.362284453884</v>
      </c>
      <c r="G16" s="18">
        <f t="shared" si="0"/>
        <v>10711.881823426304</v>
      </c>
      <c r="H16" s="18">
        <f t="shared" si="0"/>
        <v>9640.6936410836734</v>
      </c>
      <c r="I16" s="18">
        <f t="shared" si="0"/>
        <v>8666.8862025903745</v>
      </c>
      <c r="J16" s="18">
        <f t="shared" si="0"/>
        <v>8207.8055530149595</v>
      </c>
      <c r="K16" s="18">
        <f t="shared" si="0"/>
        <v>8221.7170878505785</v>
      </c>
      <c r="L16" s="18">
        <f t="shared" si="0"/>
        <v>8207.8055530149595</v>
      </c>
      <c r="M16" s="18">
        <f t="shared" si="0"/>
        <v>8221.7170878505785</v>
      </c>
      <c r="N16" s="18">
        <f t="shared" si="0"/>
        <v>8207.8055530149595</v>
      </c>
      <c r="O16" s="18">
        <f t="shared" si="0"/>
        <v>8221.7170878505785</v>
      </c>
      <c r="P16" s="18">
        <f t="shared" si="0"/>
        <v>8207.8055530149595</v>
      </c>
      <c r="Q16" s="18">
        <f t="shared" si="0"/>
        <v>8221.7170878505785</v>
      </c>
      <c r="R16" s="18">
        <f t="shared" si="0"/>
        <v>8207.8055530149595</v>
      </c>
      <c r="S16" s="18">
        <f t="shared" si="0"/>
        <v>4103.9027765074798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237</v>
      </c>
      <c r="B17" s="292">
        <f>Assumptions!C52-Assumptions!C48-Assumptions!C49</f>
        <v>6778.6787999999997</v>
      </c>
      <c r="C17" s="293"/>
      <c r="D17" s="290">
        <f>$B$17*D13</f>
        <v>903.8238399999999</v>
      </c>
      <c r="E17" s="290">
        <f t="shared" ref="E17:AH17" si="2">$B$17*E13</f>
        <v>1355.73576</v>
      </c>
      <c r="F17" s="290">
        <f t="shared" si="2"/>
        <v>1355.73576</v>
      </c>
      <c r="G17" s="290">
        <f t="shared" si="2"/>
        <v>1355.73576</v>
      </c>
      <c r="H17" s="290">
        <f t="shared" si="2"/>
        <v>1355.73576</v>
      </c>
      <c r="I17" s="290">
        <f t="shared" si="2"/>
        <v>451.91192000000007</v>
      </c>
      <c r="J17" s="290">
        <f t="shared" si="2"/>
        <v>0</v>
      </c>
      <c r="K17" s="290">
        <f t="shared" si="2"/>
        <v>0</v>
      </c>
      <c r="L17" s="290">
        <f t="shared" si="2"/>
        <v>0</v>
      </c>
      <c r="M17" s="290">
        <f t="shared" si="2"/>
        <v>0</v>
      </c>
      <c r="N17" s="290">
        <f t="shared" si="2"/>
        <v>0</v>
      </c>
      <c r="O17" s="290">
        <f t="shared" si="2"/>
        <v>0</v>
      </c>
      <c r="P17" s="290">
        <f t="shared" si="2"/>
        <v>0</v>
      </c>
      <c r="Q17" s="290">
        <f t="shared" si="2"/>
        <v>0</v>
      </c>
      <c r="R17" s="290">
        <f t="shared" si="2"/>
        <v>0</v>
      </c>
      <c r="S17" s="290">
        <f t="shared" si="2"/>
        <v>0</v>
      </c>
      <c r="T17" s="290">
        <f t="shared" si="2"/>
        <v>0</v>
      </c>
      <c r="U17" s="290">
        <f t="shared" si="2"/>
        <v>0</v>
      </c>
      <c r="V17" s="290">
        <f t="shared" si="2"/>
        <v>0</v>
      </c>
      <c r="W17" s="290">
        <f t="shared" si="2"/>
        <v>0</v>
      </c>
      <c r="X17" s="290">
        <f t="shared" si="2"/>
        <v>0</v>
      </c>
      <c r="Y17" s="290">
        <f t="shared" si="2"/>
        <v>0</v>
      </c>
      <c r="Z17" s="290">
        <f t="shared" si="2"/>
        <v>0</v>
      </c>
      <c r="AA17" s="290">
        <f t="shared" si="2"/>
        <v>0</v>
      </c>
      <c r="AB17" s="290">
        <f t="shared" si="2"/>
        <v>0</v>
      </c>
      <c r="AC17" s="290">
        <f t="shared" si="2"/>
        <v>0</v>
      </c>
      <c r="AD17" s="290">
        <f t="shared" si="2"/>
        <v>0</v>
      </c>
      <c r="AE17" s="290">
        <f t="shared" si="2"/>
        <v>0</v>
      </c>
      <c r="AF17" s="290">
        <f t="shared" si="2"/>
        <v>0</v>
      </c>
      <c r="AG17" s="290">
        <f t="shared" si="2"/>
        <v>0</v>
      </c>
      <c r="AH17" s="290">
        <f t="shared" si="2"/>
        <v>0</v>
      </c>
    </row>
    <row r="18" spans="1:36" s="10" customFormat="1" ht="15">
      <c r="A18" s="22" t="s">
        <v>303</v>
      </c>
      <c r="B18" s="365">
        <f>Assumptions!$C$58</f>
        <v>0</v>
      </c>
      <c r="C18" s="293"/>
      <c r="D18" s="366">
        <f>$B$18*D14</f>
        <v>0</v>
      </c>
      <c r="E18" s="366">
        <f t="shared" ref="E18:Y18" si="3">$B$18*E14</f>
        <v>0</v>
      </c>
      <c r="F18" s="366">
        <f t="shared" si="3"/>
        <v>0</v>
      </c>
      <c r="G18" s="366">
        <f t="shared" si="3"/>
        <v>0</v>
      </c>
      <c r="H18" s="366">
        <f t="shared" si="3"/>
        <v>0</v>
      </c>
      <c r="I18" s="366">
        <f t="shared" si="3"/>
        <v>0</v>
      </c>
      <c r="J18" s="366">
        <f t="shared" si="3"/>
        <v>0</v>
      </c>
      <c r="K18" s="366">
        <f t="shared" si="3"/>
        <v>0</v>
      </c>
      <c r="L18" s="366">
        <f t="shared" si="3"/>
        <v>0</v>
      </c>
      <c r="M18" s="366">
        <f t="shared" si="3"/>
        <v>0</v>
      </c>
      <c r="N18" s="366">
        <f t="shared" si="3"/>
        <v>0</v>
      </c>
      <c r="O18" s="366">
        <f t="shared" si="3"/>
        <v>0</v>
      </c>
      <c r="P18" s="366">
        <f t="shared" si="3"/>
        <v>0</v>
      </c>
      <c r="Q18" s="366">
        <f t="shared" si="3"/>
        <v>0</v>
      </c>
      <c r="R18" s="366">
        <f t="shared" si="3"/>
        <v>0</v>
      </c>
      <c r="S18" s="366">
        <f t="shared" si="3"/>
        <v>0</v>
      </c>
      <c r="T18" s="366">
        <f t="shared" si="3"/>
        <v>0</v>
      </c>
      <c r="U18" s="366">
        <f t="shared" si="3"/>
        <v>0</v>
      </c>
      <c r="V18" s="366">
        <f t="shared" si="3"/>
        <v>0</v>
      </c>
      <c r="W18" s="366">
        <f t="shared" si="3"/>
        <v>0</v>
      </c>
      <c r="X18" s="366">
        <f t="shared" si="3"/>
        <v>0</v>
      </c>
      <c r="Y18" s="366">
        <f t="shared" si="3"/>
        <v>0</v>
      </c>
      <c r="Z18" s="366">
        <f t="shared" ref="Z18:AH18" si="4">$B$18*Z14</f>
        <v>0</v>
      </c>
      <c r="AA18" s="366">
        <f t="shared" si="4"/>
        <v>0</v>
      </c>
      <c r="AB18" s="366">
        <f t="shared" si="4"/>
        <v>0</v>
      </c>
      <c r="AC18" s="366">
        <f t="shared" si="4"/>
        <v>0</v>
      </c>
      <c r="AD18" s="366">
        <f t="shared" si="4"/>
        <v>0</v>
      </c>
      <c r="AE18" s="366">
        <f t="shared" si="4"/>
        <v>0</v>
      </c>
      <c r="AF18" s="366">
        <f t="shared" si="4"/>
        <v>0</v>
      </c>
      <c r="AG18" s="366">
        <f t="shared" si="4"/>
        <v>0</v>
      </c>
      <c r="AH18" s="366">
        <f t="shared" si="4"/>
        <v>0</v>
      </c>
    </row>
    <row r="19" spans="1:36" s="10" customFormat="1">
      <c r="A19" s="22" t="s">
        <v>61</v>
      </c>
      <c r="B19" s="18">
        <f>SUM(B16:B18)</f>
        <v>145894.02715618577</v>
      </c>
      <c r="C19" s="293"/>
      <c r="D19" s="18">
        <f t="shared" ref="D19:Y19" si="5">SUM(D16:D18)</f>
        <v>7859.5912578092893</v>
      </c>
      <c r="E19" s="18">
        <f t="shared" si="5"/>
        <v>14571.693853837649</v>
      </c>
      <c r="F19" s="18">
        <f t="shared" si="5"/>
        <v>13250.098044453884</v>
      </c>
      <c r="G19" s="18">
        <f t="shared" si="5"/>
        <v>12067.617583426303</v>
      </c>
      <c r="H19" s="18">
        <f t="shared" si="5"/>
        <v>10996.429401083673</v>
      </c>
      <c r="I19" s="18">
        <f t="shared" si="5"/>
        <v>9118.798122590375</v>
      </c>
      <c r="J19" s="18">
        <f t="shared" si="5"/>
        <v>8207.8055530149595</v>
      </c>
      <c r="K19" s="18">
        <f t="shared" si="5"/>
        <v>8221.7170878505785</v>
      </c>
      <c r="L19" s="18">
        <f t="shared" si="5"/>
        <v>8207.8055530149595</v>
      </c>
      <c r="M19" s="18">
        <f t="shared" si="5"/>
        <v>8221.7170878505785</v>
      </c>
      <c r="N19" s="18">
        <f t="shared" si="5"/>
        <v>8207.8055530149595</v>
      </c>
      <c r="O19" s="18">
        <f t="shared" si="5"/>
        <v>8221.7170878505785</v>
      </c>
      <c r="P19" s="18">
        <f t="shared" si="5"/>
        <v>8207.8055530149595</v>
      </c>
      <c r="Q19" s="18">
        <f t="shared" si="5"/>
        <v>8221.7170878505785</v>
      </c>
      <c r="R19" s="18">
        <f t="shared" si="5"/>
        <v>8207.8055530149595</v>
      </c>
      <c r="S19" s="18">
        <f t="shared" si="5"/>
        <v>4103.9027765074798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294">
        <f>B19</f>
        <v>145894.02715618577</v>
      </c>
      <c r="C21" s="367"/>
      <c r="D21" s="294">
        <f>B19-D19</f>
        <v>138034.43589837648</v>
      </c>
      <c r="E21" s="294">
        <f>D21-E19</f>
        <v>123462.74204453884</v>
      </c>
      <c r="F21" s="294">
        <f t="shared" ref="F21:X21" si="7">E21-F19</f>
        <v>110212.64400008495</v>
      </c>
      <c r="G21" s="294">
        <f t="shared" si="7"/>
        <v>98145.026416658657</v>
      </c>
      <c r="H21" s="294">
        <f t="shared" si="7"/>
        <v>87148.597015574982</v>
      </c>
      <c r="I21" s="294">
        <f t="shared" si="7"/>
        <v>78029.798892984603</v>
      </c>
      <c r="J21" s="294">
        <f t="shared" si="7"/>
        <v>69821.993339969646</v>
      </c>
      <c r="K21" s="294">
        <f t="shared" si="7"/>
        <v>61600.276252119067</v>
      </c>
      <c r="L21" s="294">
        <f t="shared" si="7"/>
        <v>53392.470699104109</v>
      </c>
      <c r="M21" s="294">
        <f t="shared" si="7"/>
        <v>45170.753611253531</v>
      </c>
      <c r="N21" s="294">
        <f t="shared" si="7"/>
        <v>36962.948058238573</v>
      </c>
      <c r="O21" s="294">
        <f t="shared" si="7"/>
        <v>28741.230970387995</v>
      </c>
      <c r="P21" s="294">
        <f t="shared" si="7"/>
        <v>20533.425417373037</v>
      </c>
      <c r="Q21" s="294">
        <f t="shared" si="7"/>
        <v>12311.708329522458</v>
      </c>
      <c r="R21" s="294">
        <f t="shared" si="7"/>
        <v>4103.9027765074989</v>
      </c>
      <c r="S21" s="294">
        <f t="shared" si="7"/>
        <v>1.9099388737231493E-11</v>
      </c>
      <c r="T21" s="294">
        <f t="shared" si="7"/>
        <v>1.9099388737231493E-11</v>
      </c>
      <c r="U21" s="294">
        <f t="shared" si="7"/>
        <v>1.9099388737231493E-11</v>
      </c>
      <c r="V21" s="294">
        <f t="shared" si="7"/>
        <v>1.9099388737231493E-11</v>
      </c>
      <c r="W21" s="294">
        <f t="shared" si="7"/>
        <v>1.9099388737231493E-11</v>
      </c>
      <c r="X21" s="294">
        <f t="shared" si="7"/>
        <v>1.9099388737231493E-11</v>
      </c>
      <c r="Y21" s="294">
        <f>X21-Y19</f>
        <v>1.9099388737231493E-11</v>
      </c>
      <c r="Z21" s="294">
        <f t="shared" ref="Z21:AH21" si="8">Y21-Z19</f>
        <v>1.9099388737231493E-11</v>
      </c>
      <c r="AA21" s="294">
        <f t="shared" si="8"/>
        <v>1.9099388737231493E-11</v>
      </c>
      <c r="AB21" s="294">
        <f t="shared" si="8"/>
        <v>1.9099388737231493E-11</v>
      </c>
      <c r="AC21" s="294">
        <f t="shared" si="8"/>
        <v>1.9099388737231493E-11</v>
      </c>
      <c r="AD21" s="294">
        <f t="shared" si="8"/>
        <v>1.9099388737231493E-11</v>
      </c>
      <c r="AE21" s="294">
        <f t="shared" si="8"/>
        <v>1.9099388737231493E-11</v>
      </c>
      <c r="AF21" s="294">
        <f t="shared" si="8"/>
        <v>1.9099388737231493E-11</v>
      </c>
      <c r="AG21" s="294">
        <f t="shared" si="8"/>
        <v>1.9099388737231493E-11</v>
      </c>
      <c r="AH21" s="294">
        <f t="shared" si="8"/>
        <v>1.9099388737231493E-11</v>
      </c>
      <c r="AI21" s="291"/>
      <c r="AJ21" s="29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236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237</v>
      </c>
      <c r="B27" s="31">
        <f>Assumptions!$N$40</f>
        <v>5</v>
      </c>
      <c r="C27" s="32"/>
      <c r="D27" s="271">
        <f>D13</f>
        <v>0.13333333333333333</v>
      </c>
      <c r="E27" s="271">
        <f t="shared" ref="E27:AH27" si="11">E13</f>
        <v>0.2</v>
      </c>
      <c r="F27" s="271">
        <f t="shared" si="11"/>
        <v>0.2</v>
      </c>
      <c r="G27" s="271">
        <f t="shared" si="11"/>
        <v>0.2</v>
      </c>
      <c r="H27" s="271">
        <f t="shared" si="11"/>
        <v>0.2</v>
      </c>
      <c r="I27" s="271">
        <f t="shared" si="11"/>
        <v>6.666666666666668E-2</v>
      </c>
      <c r="J27" s="271">
        <f t="shared" si="11"/>
        <v>0</v>
      </c>
      <c r="K27" s="271">
        <f t="shared" si="11"/>
        <v>0</v>
      </c>
      <c r="L27" s="271">
        <f t="shared" si="11"/>
        <v>0</v>
      </c>
      <c r="M27" s="271">
        <f t="shared" si="11"/>
        <v>0</v>
      </c>
      <c r="N27" s="271">
        <f t="shared" si="11"/>
        <v>0</v>
      </c>
      <c r="O27" s="271">
        <f t="shared" si="11"/>
        <v>0</v>
      </c>
      <c r="P27" s="271">
        <f t="shared" si="11"/>
        <v>0</v>
      </c>
      <c r="Q27" s="271">
        <f t="shared" si="11"/>
        <v>0</v>
      </c>
      <c r="R27" s="271">
        <f t="shared" si="11"/>
        <v>0</v>
      </c>
      <c r="S27" s="271">
        <f t="shared" si="11"/>
        <v>0</v>
      </c>
      <c r="T27" s="271">
        <f t="shared" si="11"/>
        <v>0</v>
      </c>
      <c r="U27" s="271">
        <f t="shared" si="11"/>
        <v>0</v>
      </c>
      <c r="V27" s="271">
        <f t="shared" si="11"/>
        <v>0</v>
      </c>
      <c r="W27" s="271">
        <f t="shared" si="11"/>
        <v>0</v>
      </c>
      <c r="X27" s="271">
        <f t="shared" si="11"/>
        <v>0</v>
      </c>
      <c r="Y27" s="271">
        <f t="shared" si="11"/>
        <v>0</v>
      </c>
      <c r="Z27" s="271">
        <f t="shared" si="11"/>
        <v>0</v>
      </c>
      <c r="AA27" s="271">
        <f t="shared" si="11"/>
        <v>0</v>
      </c>
      <c r="AB27" s="271">
        <f t="shared" si="11"/>
        <v>0</v>
      </c>
      <c r="AC27" s="271">
        <f t="shared" si="11"/>
        <v>0</v>
      </c>
      <c r="AD27" s="271">
        <f t="shared" si="11"/>
        <v>0</v>
      </c>
      <c r="AE27" s="271">
        <f t="shared" si="11"/>
        <v>0</v>
      </c>
      <c r="AF27" s="271">
        <f t="shared" si="11"/>
        <v>0</v>
      </c>
      <c r="AG27" s="271">
        <f t="shared" si="11"/>
        <v>0</v>
      </c>
      <c r="AH27" s="271">
        <f t="shared" si="11"/>
        <v>0</v>
      </c>
    </row>
    <row r="28" spans="1:36" s="10" customFormat="1">
      <c r="A28" s="22" t="s">
        <v>303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236</v>
      </c>
      <c r="B31" s="364">
        <f>B16</f>
        <v>139115.34835618577</v>
      </c>
      <c r="C31" s="293"/>
      <c r="D31" s="18">
        <f>$B$31*D26</f>
        <v>6955.7674178092893</v>
      </c>
      <c r="E31" s="18">
        <f t="shared" ref="E31:Y31" si="14">$B$31*E26</f>
        <v>13215.958093837649</v>
      </c>
      <c r="F31" s="18">
        <f t="shared" si="14"/>
        <v>11894.362284453884</v>
      </c>
      <c r="G31" s="18">
        <f t="shared" si="14"/>
        <v>10711.881823426304</v>
      </c>
      <c r="H31" s="18">
        <f t="shared" si="14"/>
        <v>9640.6936410836734</v>
      </c>
      <c r="I31" s="18">
        <f t="shared" si="14"/>
        <v>8666.8862025903745</v>
      </c>
      <c r="J31" s="18">
        <f t="shared" si="14"/>
        <v>8207.8055530149595</v>
      </c>
      <c r="K31" s="18">
        <f t="shared" si="14"/>
        <v>8221.7170878505785</v>
      </c>
      <c r="L31" s="18">
        <f t="shared" si="14"/>
        <v>8207.8055530149595</v>
      </c>
      <c r="M31" s="18">
        <f t="shared" si="14"/>
        <v>8221.7170878505785</v>
      </c>
      <c r="N31" s="18">
        <f t="shared" si="14"/>
        <v>8207.8055530149595</v>
      </c>
      <c r="O31" s="18">
        <f t="shared" si="14"/>
        <v>8221.7170878505785</v>
      </c>
      <c r="P31" s="18">
        <f t="shared" si="14"/>
        <v>8207.8055530149595</v>
      </c>
      <c r="Q31" s="18">
        <f t="shared" si="14"/>
        <v>8221.7170878505785</v>
      </c>
      <c r="R31" s="18">
        <f t="shared" si="14"/>
        <v>8207.8055530149595</v>
      </c>
      <c r="S31" s="18">
        <f t="shared" si="14"/>
        <v>4103.9027765074798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237</v>
      </c>
      <c r="B32" s="292">
        <f>B17</f>
        <v>6778.6787999999997</v>
      </c>
      <c r="C32" s="293"/>
      <c r="D32" s="290">
        <f>D27*$B$32</f>
        <v>903.8238399999999</v>
      </c>
      <c r="E32" s="290">
        <f t="shared" ref="E32:AH32" si="16">E27*$B$32</f>
        <v>1355.73576</v>
      </c>
      <c r="F32" s="290">
        <f t="shared" si="16"/>
        <v>1355.73576</v>
      </c>
      <c r="G32" s="290">
        <f t="shared" si="16"/>
        <v>1355.73576</v>
      </c>
      <c r="H32" s="290">
        <f t="shared" si="16"/>
        <v>1355.73576</v>
      </c>
      <c r="I32" s="290">
        <f t="shared" si="16"/>
        <v>451.91192000000007</v>
      </c>
      <c r="J32" s="290">
        <f t="shared" si="16"/>
        <v>0</v>
      </c>
      <c r="K32" s="290">
        <f t="shared" si="16"/>
        <v>0</v>
      </c>
      <c r="L32" s="290">
        <f t="shared" si="16"/>
        <v>0</v>
      </c>
      <c r="M32" s="290">
        <f t="shared" si="16"/>
        <v>0</v>
      </c>
      <c r="N32" s="290">
        <f t="shared" si="16"/>
        <v>0</v>
      </c>
      <c r="O32" s="290">
        <f t="shared" si="16"/>
        <v>0</v>
      </c>
      <c r="P32" s="290">
        <f t="shared" si="16"/>
        <v>0</v>
      </c>
      <c r="Q32" s="290">
        <f t="shared" si="16"/>
        <v>0</v>
      </c>
      <c r="R32" s="290">
        <f t="shared" si="16"/>
        <v>0</v>
      </c>
      <c r="S32" s="290">
        <f t="shared" si="16"/>
        <v>0</v>
      </c>
      <c r="T32" s="290">
        <f t="shared" si="16"/>
        <v>0</v>
      </c>
      <c r="U32" s="290">
        <f t="shared" si="16"/>
        <v>0</v>
      </c>
      <c r="V32" s="290">
        <f t="shared" si="16"/>
        <v>0</v>
      </c>
      <c r="W32" s="290">
        <f t="shared" si="16"/>
        <v>0</v>
      </c>
      <c r="X32" s="290">
        <f t="shared" si="16"/>
        <v>0</v>
      </c>
      <c r="Y32" s="290">
        <f t="shared" si="16"/>
        <v>0</v>
      </c>
      <c r="Z32" s="290">
        <f t="shared" si="16"/>
        <v>0</v>
      </c>
      <c r="AA32" s="290">
        <f t="shared" si="16"/>
        <v>0</v>
      </c>
      <c r="AB32" s="290">
        <f t="shared" si="16"/>
        <v>0</v>
      </c>
      <c r="AC32" s="290">
        <f t="shared" si="16"/>
        <v>0</v>
      </c>
      <c r="AD32" s="290">
        <f t="shared" si="16"/>
        <v>0</v>
      </c>
      <c r="AE32" s="290">
        <f t="shared" si="16"/>
        <v>0</v>
      </c>
      <c r="AF32" s="290">
        <f t="shared" si="16"/>
        <v>0</v>
      </c>
      <c r="AG32" s="290">
        <f t="shared" si="16"/>
        <v>0</v>
      </c>
      <c r="AH32" s="290">
        <f t="shared" si="16"/>
        <v>0</v>
      </c>
    </row>
    <row r="33" spans="1:38" s="10" customFormat="1" ht="15">
      <c r="A33" s="22" t="s">
        <v>303</v>
      </c>
      <c r="B33" s="365">
        <f>B18</f>
        <v>0</v>
      </c>
      <c r="C33" s="293"/>
      <c r="D33" s="366">
        <f t="shared" ref="D33:Y33" si="17">$B33*D28</f>
        <v>0</v>
      </c>
      <c r="E33" s="366">
        <f t="shared" si="17"/>
        <v>0</v>
      </c>
      <c r="F33" s="366">
        <f t="shared" si="17"/>
        <v>0</v>
      </c>
      <c r="G33" s="366">
        <f t="shared" si="17"/>
        <v>0</v>
      </c>
      <c r="H33" s="366">
        <f t="shared" si="17"/>
        <v>0</v>
      </c>
      <c r="I33" s="366">
        <f t="shared" si="17"/>
        <v>0</v>
      </c>
      <c r="J33" s="366">
        <f t="shared" si="17"/>
        <v>0</v>
      </c>
      <c r="K33" s="366">
        <f t="shared" si="17"/>
        <v>0</v>
      </c>
      <c r="L33" s="366">
        <f t="shared" si="17"/>
        <v>0</v>
      </c>
      <c r="M33" s="366">
        <f t="shared" si="17"/>
        <v>0</v>
      </c>
      <c r="N33" s="366">
        <f t="shared" si="17"/>
        <v>0</v>
      </c>
      <c r="O33" s="366">
        <f t="shared" si="17"/>
        <v>0</v>
      </c>
      <c r="P33" s="366">
        <f t="shared" si="17"/>
        <v>0</v>
      </c>
      <c r="Q33" s="366">
        <f t="shared" si="17"/>
        <v>0</v>
      </c>
      <c r="R33" s="366">
        <f t="shared" si="17"/>
        <v>0</v>
      </c>
      <c r="S33" s="366">
        <f t="shared" si="17"/>
        <v>0</v>
      </c>
      <c r="T33" s="366">
        <f t="shared" si="17"/>
        <v>0</v>
      </c>
      <c r="U33" s="366">
        <f t="shared" si="17"/>
        <v>0</v>
      </c>
      <c r="V33" s="366">
        <f t="shared" si="17"/>
        <v>0</v>
      </c>
      <c r="W33" s="366">
        <f t="shared" si="17"/>
        <v>0</v>
      </c>
      <c r="X33" s="366">
        <f t="shared" si="17"/>
        <v>0</v>
      </c>
      <c r="Y33" s="366">
        <f t="shared" si="17"/>
        <v>0</v>
      </c>
      <c r="Z33" s="366">
        <f t="shared" ref="Z33:AH33" si="18">$B33*Z28</f>
        <v>0</v>
      </c>
      <c r="AA33" s="366">
        <f t="shared" si="18"/>
        <v>0</v>
      </c>
      <c r="AB33" s="366">
        <f t="shared" si="18"/>
        <v>0</v>
      </c>
      <c r="AC33" s="366">
        <f t="shared" si="18"/>
        <v>0</v>
      </c>
      <c r="AD33" s="366">
        <f t="shared" si="18"/>
        <v>0</v>
      </c>
      <c r="AE33" s="366">
        <f t="shared" si="18"/>
        <v>0</v>
      </c>
      <c r="AF33" s="366">
        <f t="shared" si="18"/>
        <v>0</v>
      </c>
      <c r="AG33" s="366">
        <f t="shared" si="18"/>
        <v>0</v>
      </c>
      <c r="AH33" s="366">
        <f t="shared" si="18"/>
        <v>0</v>
      </c>
    </row>
    <row r="34" spans="1:38" s="10" customFormat="1">
      <c r="A34" s="16" t="s">
        <v>61</v>
      </c>
      <c r="B34" s="18">
        <f>SUM(B31:B33)</f>
        <v>145894.02715618577</v>
      </c>
      <c r="C34" s="293"/>
      <c r="D34" s="18">
        <f t="shared" ref="D34:Y34" si="19">SUM(D31:D33)</f>
        <v>7859.5912578092893</v>
      </c>
      <c r="E34" s="18">
        <f t="shared" si="19"/>
        <v>14571.693853837649</v>
      </c>
      <c r="F34" s="18">
        <f t="shared" si="19"/>
        <v>13250.098044453884</v>
      </c>
      <c r="G34" s="18">
        <f t="shared" si="19"/>
        <v>12067.617583426303</v>
      </c>
      <c r="H34" s="18">
        <f t="shared" si="19"/>
        <v>10996.429401083673</v>
      </c>
      <c r="I34" s="18">
        <f t="shared" si="19"/>
        <v>9118.798122590375</v>
      </c>
      <c r="J34" s="18">
        <f t="shared" si="19"/>
        <v>8207.8055530149595</v>
      </c>
      <c r="K34" s="18">
        <f t="shared" si="19"/>
        <v>8221.7170878505785</v>
      </c>
      <c r="L34" s="18">
        <f t="shared" si="19"/>
        <v>8207.8055530149595</v>
      </c>
      <c r="M34" s="18">
        <f t="shared" si="19"/>
        <v>8221.7170878505785</v>
      </c>
      <c r="N34" s="18">
        <f t="shared" si="19"/>
        <v>8207.8055530149595</v>
      </c>
      <c r="O34" s="18">
        <f t="shared" si="19"/>
        <v>8221.7170878505785</v>
      </c>
      <c r="P34" s="18">
        <f t="shared" si="19"/>
        <v>8207.8055530149595</v>
      </c>
      <c r="Q34" s="18">
        <f t="shared" si="19"/>
        <v>8221.7170878505785</v>
      </c>
      <c r="R34" s="18">
        <f t="shared" si="19"/>
        <v>8207.8055530149595</v>
      </c>
      <c r="S34" s="18">
        <f t="shared" si="19"/>
        <v>4103.9027765074798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6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294">
        <f>B34</f>
        <v>145894.02715618577</v>
      </c>
      <c r="C36" s="369"/>
      <c r="D36" s="294">
        <f>B34-D34</f>
        <v>138034.43589837648</v>
      </c>
      <c r="E36" s="294">
        <f>D36-E34</f>
        <v>123462.74204453884</v>
      </c>
      <c r="F36" s="294">
        <f t="shared" ref="F36:W36" si="21">E36-F34</f>
        <v>110212.64400008495</v>
      </c>
      <c r="G36" s="294">
        <f t="shared" si="21"/>
        <v>98145.026416658657</v>
      </c>
      <c r="H36" s="294">
        <f t="shared" si="21"/>
        <v>87148.597015574982</v>
      </c>
      <c r="I36" s="294">
        <f t="shared" si="21"/>
        <v>78029.798892984603</v>
      </c>
      <c r="J36" s="294">
        <f t="shared" si="21"/>
        <v>69821.993339969646</v>
      </c>
      <c r="K36" s="294">
        <f t="shared" si="21"/>
        <v>61600.276252119067</v>
      </c>
      <c r="L36" s="294">
        <f t="shared" si="21"/>
        <v>53392.470699104109</v>
      </c>
      <c r="M36" s="294">
        <f t="shared" si="21"/>
        <v>45170.753611253531</v>
      </c>
      <c r="N36" s="294">
        <f t="shared" si="21"/>
        <v>36962.948058238573</v>
      </c>
      <c r="O36" s="294">
        <f t="shared" si="21"/>
        <v>28741.230970387995</v>
      </c>
      <c r="P36" s="294">
        <f t="shared" si="21"/>
        <v>20533.425417373037</v>
      </c>
      <c r="Q36" s="294">
        <f t="shared" si="21"/>
        <v>12311.708329522458</v>
      </c>
      <c r="R36" s="294">
        <f t="shared" si="21"/>
        <v>4103.9027765074989</v>
      </c>
      <c r="S36" s="294">
        <f t="shared" si="21"/>
        <v>1.9099388737231493E-11</v>
      </c>
      <c r="T36" s="294">
        <f t="shared" si="21"/>
        <v>1.9099388737231493E-11</v>
      </c>
      <c r="U36" s="294">
        <f t="shared" si="21"/>
        <v>1.9099388737231493E-11</v>
      </c>
      <c r="V36" s="294">
        <f t="shared" si="21"/>
        <v>1.9099388737231493E-11</v>
      </c>
      <c r="W36" s="294">
        <f t="shared" si="21"/>
        <v>1.9099388737231493E-11</v>
      </c>
      <c r="X36" s="294">
        <f>W36-X34</f>
        <v>1.9099388737231493E-11</v>
      </c>
      <c r="Y36" s="294">
        <f>X36-Y34</f>
        <v>1.9099388737231493E-11</v>
      </c>
      <c r="Z36" s="294">
        <f t="shared" ref="Z36:AH36" si="22">Y36-Z34</f>
        <v>1.9099388737231493E-11</v>
      </c>
      <c r="AA36" s="294">
        <f t="shared" si="22"/>
        <v>1.9099388737231493E-11</v>
      </c>
      <c r="AB36" s="294">
        <f t="shared" si="22"/>
        <v>1.9099388737231493E-11</v>
      </c>
      <c r="AC36" s="294">
        <f t="shared" si="22"/>
        <v>1.9099388737231493E-11</v>
      </c>
      <c r="AD36" s="294">
        <f t="shared" si="22"/>
        <v>1.9099388737231493E-11</v>
      </c>
      <c r="AE36" s="294">
        <f t="shared" si="22"/>
        <v>1.9099388737231493E-11</v>
      </c>
      <c r="AF36" s="294">
        <f t="shared" si="22"/>
        <v>1.9099388737231493E-11</v>
      </c>
      <c r="AG36" s="294">
        <f t="shared" si="22"/>
        <v>1.9099388737231493E-11</v>
      </c>
      <c r="AH36" s="294">
        <f t="shared" si="22"/>
        <v>1.9099388737231493E-11</v>
      </c>
      <c r="AI36" s="291"/>
      <c r="AJ36" s="29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62" t="s">
        <v>65</v>
      </c>
    </row>
    <row r="41" spans="1:38" s="10" customFormat="1">
      <c r="A41" s="21" t="s">
        <v>358</v>
      </c>
      <c r="B41" s="31">
        <f>Assumptions!$N$44</f>
        <v>30</v>
      </c>
      <c r="C41" s="363">
        <f>Assumptions!P44</f>
        <v>0.1</v>
      </c>
      <c r="D41" s="271">
        <f>1/Assumptions!$N$44*D6*(1-$C$41)</f>
        <v>1.9999999999999997E-2</v>
      </c>
      <c r="E41" s="271">
        <f>IF(AND(E6&gt;=Assumptions!$N$44,D6&lt;Assumptions!$N$44),1/Assumptions!$N$44*(1-$C$41)-Depreciation!$D$41,IF(AND(D6&gt;Assumptions!$N$44,E6&lt;Assumptions!$N$44),0,1/Assumptions!$N$44*(1-$C$41)))</f>
        <v>0.03</v>
      </c>
      <c r="F41" s="271">
        <f>IF(AND(F6&gt;=Assumptions!$N$44,E6&lt;Assumptions!$N$44),1/Assumptions!$N$44*(1-$C$41)-Depreciation!$D$41,IF(AND(E6&gt;Assumptions!$N$44,F6&lt;Assumptions!$N$44),0,1/Assumptions!$N$44*(1-$C$41)))</f>
        <v>0.03</v>
      </c>
      <c r="G41" s="271">
        <f>IF(AND(G6&gt;=Assumptions!$N$44,F6&lt;Assumptions!$N$44),1/Assumptions!$N$44*(1-$C$41)-Depreciation!$D$41,IF(AND(F6&gt;Assumptions!$N$44,G6&lt;Assumptions!$N$44),0,1/Assumptions!$N$44*(1-$C$41)))</f>
        <v>0.03</v>
      </c>
      <c r="H41" s="271">
        <f>IF(AND(H6&gt;=Assumptions!$N$44,G6&lt;Assumptions!$N$44),1/Assumptions!$N$44*(1-$C$41)-Depreciation!$D$41,IF(AND(G6&gt;Assumptions!$N$44,H6&lt;Assumptions!$N$44),0,1/Assumptions!$N$44*(1-$C$41)))</f>
        <v>0.03</v>
      </c>
      <c r="I41" s="271">
        <f>IF(AND(I6&gt;=Assumptions!$N$44,H6&lt;Assumptions!$N$44),1/Assumptions!$N$44*(1-$C$41)-Depreciation!$D$41,IF(AND(H6&gt;Assumptions!$N$44,I6&lt;Assumptions!$N$44),0,1/Assumptions!$N$44*(1-$C$41)))</f>
        <v>0.03</v>
      </c>
      <c r="J41" s="271">
        <f>IF(AND(J6&gt;=Assumptions!$N$44,I6&lt;Assumptions!$N$44),1/Assumptions!$N$44*(1-$C$41)-Depreciation!$D$41,IF(AND(I6&gt;Assumptions!$N$44,J6&lt;Assumptions!$N$44),0,1/Assumptions!$N$44*(1-$C$41)))</f>
        <v>0.03</v>
      </c>
      <c r="K41" s="271">
        <f>IF(AND(K6&gt;=Assumptions!$N$44,J6&lt;Assumptions!$N$44),1/Assumptions!$N$44*(1-$C$41)-Depreciation!$D$41,IF(AND(J6&gt;Assumptions!$N$44,K6&lt;Assumptions!$N$44),0,1/Assumptions!$N$44*(1-$C$41)))</f>
        <v>0.03</v>
      </c>
      <c r="L41" s="271">
        <f>IF(AND(L6&gt;=Assumptions!$N$44,K6&lt;Assumptions!$N$44),1/Assumptions!$N$44*(1-$C$41)-Depreciation!$D$41,IF(AND(K6&gt;Assumptions!$N$44,L6&lt;Assumptions!$N$44),0,1/Assumptions!$N$44*(1-$C$41)))</f>
        <v>0.03</v>
      </c>
      <c r="M41" s="271">
        <f>IF(AND(M6&gt;=Assumptions!$N$44,L6&lt;Assumptions!$N$44),1/Assumptions!$N$44*(1-$C$41)-Depreciation!$D$41,IF(AND(L6&gt;Assumptions!$N$44,M6&lt;Assumptions!$N$44),0,1/Assumptions!$N$44*(1-$C$41)))</f>
        <v>0.03</v>
      </c>
      <c r="N41" s="271">
        <f>IF(AND(N6&gt;=Assumptions!$N$44,M6&lt;Assumptions!$N$44),1/Assumptions!$N$44*(1-$C$41)-Depreciation!$D$41,IF(AND(M6&gt;Assumptions!$N$44,N6&lt;Assumptions!$N$44),0,1/Assumptions!$N$44*(1-$C$41)))</f>
        <v>0.03</v>
      </c>
      <c r="O41" s="271">
        <f>IF(AND(O6&gt;=Assumptions!$N$44,N6&lt;Assumptions!$N$44),1/Assumptions!$N$44*(1-$C$41)-Depreciation!$D$41,IF(AND(N6&gt;Assumptions!$N$44,O6&lt;Assumptions!$N$44),0,1/Assumptions!$N$44*(1-$C$41)))</f>
        <v>0.03</v>
      </c>
      <c r="P41" s="271">
        <f>IF(AND(P6&gt;=Assumptions!$N$44,O6&lt;Assumptions!$N$44),1/Assumptions!$N$44*(1-$C$41)-Depreciation!$D$41,IF(AND(O6&gt;Assumptions!$N$44,P6&lt;Assumptions!$N$44),0,1/Assumptions!$N$44*(1-$C$41)))</f>
        <v>0.03</v>
      </c>
      <c r="Q41" s="271">
        <f>IF(AND(Q6&gt;=Assumptions!$N$44,P6&lt;Assumptions!$N$44),1/Assumptions!$N$44*(1-$C$41)-Depreciation!$D$41,IF(AND(P6&gt;Assumptions!$N$44,Q6&lt;Assumptions!$N$44),0,1/Assumptions!$N$44*(1-$C$41)))</f>
        <v>0.03</v>
      </c>
      <c r="R41" s="271">
        <f>IF(AND(R6&gt;=Assumptions!$N$44,Q6&lt;Assumptions!$N$44),1/Assumptions!$N$44*(1-$C$41)-Depreciation!$D$41,IF(AND(Q6&gt;Assumptions!$N$44,R6&lt;Assumptions!$N$44),0,1/Assumptions!$N$44*(1-$C$41)))</f>
        <v>0.03</v>
      </c>
      <c r="S41" s="271">
        <f>IF(AND(S6&gt;=Assumptions!$N$44,R6&lt;Assumptions!$N$44),1/Assumptions!$N$44*(1-$C$41)-Depreciation!$D$41,IF(AND(R6&gt;Assumptions!$N$44,S6&lt;Assumptions!$N$44),0,1/Assumptions!$N$44*(1-$C$41)))</f>
        <v>0.03</v>
      </c>
      <c r="T41" s="271">
        <f>IF(AND(T6&gt;=Assumptions!$N$44,S6&lt;Assumptions!$N$44),1/Assumptions!$N$44*(1-$C$41)-Depreciation!$D$41,IF(AND(S6&gt;Assumptions!$N$44,T6&lt;Assumptions!$N$44),0,1/Assumptions!$N$44*(1-$C$41)))</f>
        <v>0.03</v>
      </c>
      <c r="U41" s="271">
        <f>IF(AND(U6&gt;=Assumptions!$N$44,T6&lt;Assumptions!$N$44),1/Assumptions!$N$44*(1-$C$41)-Depreciation!$D$41,IF(AND(T6&gt;Assumptions!$N$44,U6&lt;Assumptions!$N$44),0,1/Assumptions!$N$44*(1-$C$41)))</f>
        <v>0.03</v>
      </c>
      <c r="V41" s="271">
        <f>IF(AND(V6&gt;=Assumptions!$N$44,U6&lt;Assumptions!$N$44),1/Assumptions!$N$44*(1-$C$41)-Depreciation!$D$41,IF(AND(U6&gt;Assumptions!$N$44,V6&lt;Assumptions!$N$44),0,1/Assumptions!$N$44*(1-$C$41)))</f>
        <v>0.03</v>
      </c>
      <c r="W41" s="271">
        <f>IF(AND(W6&gt;=Assumptions!$N$44,V6&lt;Assumptions!$N$44),1/Assumptions!$N$44*(1-$C$41)-Depreciation!$D$41,IF(AND(V6&gt;Assumptions!$N$44,W6&lt;Assumptions!$N$44),0,1/Assumptions!$N$44*(1-$C$41)))</f>
        <v>0.03</v>
      </c>
      <c r="X41" s="271">
        <f>IF(AND(X6&gt;=Assumptions!$N$44,W6&lt;Assumptions!$N$44),1/Assumptions!$N$44*(1-$C$41)-Depreciation!$D$41,IF(AND(W6&gt;Assumptions!$N$44,X6&lt;Assumptions!$N$44),0,1/Assumptions!$N$44*(1-$C$41)))</f>
        <v>0.03</v>
      </c>
      <c r="Y41" s="271">
        <f>IF(AND(Y6&gt;=Assumptions!$N$44,X6&lt;Assumptions!$N$44),1/Assumptions!$N$44*(1-$C$41)-Depreciation!$D$41,IF(AND(X6&gt;Assumptions!$N$44,Y6&lt;Assumptions!$N$44),0,1/Assumptions!$N$44*(1-$C$41)))</f>
        <v>0.03</v>
      </c>
      <c r="Z41" s="271">
        <f>IF(AND(Z6&gt;=Assumptions!$N$44,Y6&lt;Assumptions!$N$44),1/Assumptions!$N$44*(1-$C$41)-Depreciation!$D$41,IF(AND(Y6&gt;Assumptions!$N$44,Z6&lt;Assumptions!$N$44),0,1/Assumptions!$N$44*(1-$C$41)))</f>
        <v>0.03</v>
      </c>
      <c r="AA41" s="271">
        <f>IF(AND(AA6&gt;=Assumptions!$N$44,Z6&lt;Assumptions!$N$44),1/Assumptions!$N$44*(1-$C$41)-Depreciation!$D$41,IF(AND(Z6&gt;Assumptions!$N$44,AA6&lt;Assumptions!$N$44),0,1/Assumptions!$N$44*(1-$C$41)))</f>
        <v>0.03</v>
      </c>
      <c r="AB41" s="271">
        <f>IF(AND(AB6&gt;=Assumptions!$N$44,AA6&lt;Assumptions!$N$44),1/Assumptions!$N$44*(1-$C$41)-Depreciation!$D$41,IF(AND(AA6&gt;Assumptions!$N$44,AB6&lt;Assumptions!$N$44),0,1/Assumptions!$N$44*(1-$C$41)))</f>
        <v>0.03</v>
      </c>
      <c r="AC41" s="271">
        <f>IF(AND(AC6&gt;=Assumptions!$N$44,AB6&lt;Assumptions!$N$44),1/Assumptions!$N$44*(1-$C$41)-Depreciation!$D$41,IF(AND(AB6&gt;Assumptions!$N$44,AC6&lt;Assumptions!$N$44),0,1/Assumptions!$N$44*(1-$C$41)))</f>
        <v>0.03</v>
      </c>
      <c r="AD41" s="271">
        <f>IF(AND(AD6&gt;=Assumptions!$N$44,AC6&lt;Assumptions!$N$44),1/Assumptions!$N$44*(1-$C$41)-Depreciation!$D$41,IF(AND(AC6&gt;Assumptions!$N$44,AD6&lt;Assumptions!$N$44),0,1/Assumptions!$N$44*(1-$C$41)))</f>
        <v>0.03</v>
      </c>
      <c r="AE41" s="271">
        <f>IF(AND(AE6&gt;=Assumptions!$N$44,AD6&lt;Assumptions!$N$44),1/Assumptions!$N$44*(1-$C$41)-Depreciation!$D$41,IF(AND(AD6&gt;Assumptions!$N$44,AE6&lt;Assumptions!$N$44),0,1/Assumptions!$N$44*(1-$C$41)))</f>
        <v>0.03</v>
      </c>
      <c r="AF41" s="271">
        <f>IF(AND(AF6&gt;=Assumptions!$N$44,AE6&lt;Assumptions!$N$44),1/Assumptions!$N$44*(1-$C$41)-Depreciation!$D$41,IF(AND(AE6&gt;Assumptions!$N$44,AF6&lt;Assumptions!$N$44),0,1/Assumptions!$N$44*(1-$C$41)))</f>
        <v>0.03</v>
      </c>
      <c r="AG41" s="271">
        <f>IF(AND(AG6&gt;=Assumptions!$N$44,AF6&lt;Assumptions!$N$44),1/Assumptions!$N$44*(1-$C$41)-Depreciation!$D$41,IF(AND(AF6&gt;Assumptions!$N$44,AG6&lt;Assumptions!$N$44),0,1/Assumptions!$N$44*(1-$C$41)))</f>
        <v>0.03</v>
      </c>
      <c r="AH41" s="271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237</v>
      </c>
      <c r="B42" s="31">
        <f>Assumptions!$N$40</f>
        <v>5</v>
      </c>
      <c r="C42" s="32"/>
      <c r="D42" s="271">
        <f>D13</f>
        <v>0.13333333333333333</v>
      </c>
      <c r="E42" s="271">
        <f t="shared" ref="E42:AH42" si="23">E13</f>
        <v>0.2</v>
      </c>
      <c r="F42" s="271">
        <f t="shared" si="23"/>
        <v>0.2</v>
      </c>
      <c r="G42" s="271">
        <f t="shared" si="23"/>
        <v>0.2</v>
      </c>
      <c r="H42" s="271">
        <f t="shared" si="23"/>
        <v>0.2</v>
      </c>
      <c r="I42" s="271">
        <f t="shared" si="23"/>
        <v>6.666666666666668E-2</v>
      </c>
      <c r="J42" s="271">
        <f t="shared" si="23"/>
        <v>0</v>
      </c>
      <c r="K42" s="271">
        <f t="shared" si="23"/>
        <v>0</v>
      </c>
      <c r="L42" s="271">
        <f t="shared" si="23"/>
        <v>0</v>
      </c>
      <c r="M42" s="271">
        <f t="shared" si="23"/>
        <v>0</v>
      </c>
      <c r="N42" s="271">
        <f t="shared" si="23"/>
        <v>0</v>
      </c>
      <c r="O42" s="271">
        <f t="shared" si="23"/>
        <v>0</v>
      </c>
      <c r="P42" s="271">
        <f t="shared" si="23"/>
        <v>0</v>
      </c>
      <c r="Q42" s="271">
        <f t="shared" si="23"/>
        <v>0</v>
      </c>
      <c r="R42" s="271">
        <f t="shared" si="23"/>
        <v>0</v>
      </c>
      <c r="S42" s="271">
        <f t="shared" si="23"/>
        <v>0</v>
      </c>
      <c r="T42" s="271">
        <f t="shared" si="23"/>
        <v>0</v>
      </c>
      <c r="U42" s="271">
        <f t="shared" si="23"/>
        <v>0</v>
      </c>
      <c r="V42" s="271">
        <f t="shared" si="23"/>
        <v>0</v>
      </c>
      <c r="W42" s="271">
        <f t="shared" si="23"/>
        <v>0</v>
      </c>
      <c r="X42" s="271">
        <f t="shared" si="23"/>
        <v>0</v>
      </c>
      <c r="Y42" s="271">
        <f t="shared" si="23"/>
        <v>0</v>
      </c>
      <c r="Z42" s="271">
        <f t="shared" si="23"/>
        <v>0</v>
      </c>
      <c r="AA42" s="271">
        <f t="shared" si="23"/>
        <v>0</v>
      </c>
      <c r="AB42" s="271">
        <f t="shared" si="23"/>
        <v>0</v>
      </c>
      <c r="AC42" s="271">
        <f t="shared" si="23"/>
        <v>0</v>
      </c>
      <c r="AD42" s="271">
        <f t="shared" si="23"/>
        <v>0</v>
      </c>
      <c r="AE42" s="271">
        <f t="shared" si="23"/>
        <v>0</v>
      </c>
      <c r="AF42" s="271">
        <f t="shared" si="23"/>
        <v>0</v>
      </c>
      <c r="AG42" s="271">
        <f t="shared" si="23"/>
        <v>0</v>
      </c>
      <c r="AH42" s="271">
        <f t="shared" si="23"/>
        <v>0</v>
      </c>
    </row>
    <row r="43" spans="1:38" s="10" customFormat="1">
      <c r="A43" s="22" t="s">
        <v>303</v>
      </c>
      <c r="B43" s="34">
        <f>Assumptions!$N$46</f>
        <v>20</v>
      </c>
      <c r="C43" s="24"/>
      <c r="D43" s="271">
        <f>1/Assumptions!$N$46*D6</f>
        <v>3.3333333333333333E-2</v>
      </c>
      <c r="E43" s="271">
        <f>IF(AND(E6&gt;=Assumptions!$N$46, D6&lt;Assumptions!$N$46),1/Assumptions!$N$46-Depreciation!$D$43,IF(E6&lt;Assumptions!$N$46,1/Assumptions!$N$46,0))</f>
        <v>0.05</v>
      </c>
      <c r="F43" s="271">
        <f>IF(AND(F6&gt;=Assumptions!$N$46, E6&lt;Assumptions!$N$46),1/Assumptions!$N$46-Depreciation!$D$43,IF(F6&lt;Assumptions!$N$46,1/Assumptions!$N$46,0))</f>
        <v>0.05</v>
      </c>
      <c r="G43" s="271">
        <f>IF(AND(G6&gt;=Assumptions!$N$46, F6&lt;Assumptions!$N$46),1/Assumptions!$N$46-Depreciation!$D$43,IF(G6&lt;Assumptions!$N$46,1/Assumptions!$N$46,0))</f>
        <v>0.05</v>
      </c>
      <c r="H43" s="271">
        <f>IF(AND(H6&gt;=Assumptions!$N$46, G6&lt;Assumptions!$N$46),1/Assumptions!$N$46-Depreciation!$D$43,IF(H6&lt;Assumptions!$N$46,1/Assumptions!$N$46,0))</f>
        <v>0.05</v>
      </c>
      <c r="I43" s="271">
        <f>IF(AND(I6&gt;=Assumptions!$N$46, H6&lt;Assumptions!$N$46),1/Assumptions!$N$46-Depreciation!$D$43,IF(I6&lt;Assumptions!$N$46,1/Assumptions!$N$46,0))</f>
        <v>0.05</v>
      </c>
      <c r="J43" s="271">
        <f>IF(AND(J6&gt;=Assumptions!$N$46, I6&lt;Assumptions!$N$46),1/Assumptions!$N$46-Depreciation!$D$43,IF(J6&lt;Assumptions!$N$46,1/Assumptions!$N$46,0))</f>
        <v>0.05</v>
      </c>
      <c r="K43" s="271">
        <f>IF(AND(K6&gt;=Assumptions!$N$46, J6&lt;Assumptions!$N$46),1/Assumptions!$N$46-Depreciation!$D$43,IF(K6&lt;Assumptions!$N$46,1/Assumptions!$N$46,0))</f>
        <v>0.05</v>
      </c>
      <c r="L43" s="271">
        <f>IF(AND(L6&gt;=Assumptions!$N$46, K6&lt;Assumptions!$N$46),1/Assumptions!$N$46-Depreciation!$D$43,IF(L6&lt;Assumptions!$N$46,1/Assumptions!$N$46,0))</f>
        <v>0.05</v>
      </c>
      <c r="M43" s="271">
        <f>IF(AND(M6&gt;=Assumptions!$N$46, L6&lt;Assumptions!$N$46),1/Assumptions!$N$46-Depreciation!$D$43,IF(M6&lt;Assumptions!$N$46,1/Assumptions!$N$46,0))</f>
        <v>0.05</v>
      </c>
      <c r="N43" s="271">
        <f>IF(AND(N6&gt;=Assumptions!$N$46, M6&lt;Assumptions!$N$46),1/Assumptions!$N$46-Depreciation!$D$43,IF(N6&lt;Assumptions!$N$46,1/Assumptions!$N$46,0))</f>
        <v>0.05</v>
      </c>
      <c r="O43" s="271">
        <f>IF(AND(O6&gt;=Assumptions!$N$46, N6&lt;Assumptions!$N$46),1/Assumptions!$N$46-Depreciation!$D$43,IF(O6&lt;Assumptions!$N$46,1/Assumptions!$N$46,0))</f>
        <v>0.05</v>
      </c>
      <c r="P43" s="271">
        <f>IF(AND(P6&gt;=Assumptions!$N$46, O6&lt;Assumptions!$N$46),1/Assumptions!$N$46-Depreciation!$D$43,IF(P6&lt;Assumptions!$N$46,1/Assumptions!$N$46,0))</f>
        <v>0.05</v>
      </c>
      <c r="Q43" s="271">
        <f>IF(AND(Q6&gt;=Assumptions!$N$46, P6&lt;Assumptions!$N$46),1/Assumptions!$N$46-Depreciation!$D$43,IF(Q6&lt;Assumptions!$N$46,1/Assumptions!$N$46,0))</f>
        <v>0.05</v>
      </c>
      <c r="R43" s="271">
        <f>IF(AND(R6&gt;=Assumptions!$N$46, Q6&lt;Assumptions!$N$46),1/Assumptions!$N$46-Depreciation!$D$43,IF(R6&lt;Assumptions!$N$46,1/Assumptions!$N$46,0))</f>
        <v>0.05</v>
      </c>
      <c r="S43" s="271">
        <f>IF(AND(S6&gt;=Assumptions!$N$46, R6&lt;Assumptions!$N$46),1/Assumptions!$N$46-Depreciation!$D$43,IF(S6&lt;Assumptions!$N$46,1/Assumptions!$N$46,0))</f>
        <v>0.05</v>
      </c>
      <c r="T43" s="271">
        <f>IF(AND(T6&gt;=Assumptions!$N$46, S6&lt;Assumptions!$N$46),1/Assumptions!$N$46-Depreciation!$D$43,IF(T6&lt;Assumptions!$N$46,1/Assumptions!$N$46,0))</f>
        <v>0.05</v>
      </c>
      <c r="U43" s="271">
        <f>IF(AND(U6&gt;=Assumptions!$N$46, T6&lt;Assumptions!$N$46),1/Assumptions!$N$46-Depreciation!$D$43,IF(U6&lt;Assumptions!$N$46,1/Assumptions!$N$46,0))</f>
        <v>0.05</v>
      </c>
      <c r="V43" s="271">
        <f>IF(AND(V6&gt;=Assumptions!$N$46, U6&lt;Assumptions!$N$46),1/Assumptions!$N$46-Depreciation!$D$43,IF(V6&lt;Assumptions!$N$46,1/Assumptions!$N$46,0))</f>
        <v>0.05</v>
      </c>
      <c r="W43" s="271">
        <f>IF(AND(W6&gt;=Assumptions!$N$46, V6&lt;Assumptions!$N$46),1/Assumptions!$N$46-Depreciation!$D$43,IF(W6&lt;Assumptions!$N$46,1/Assumptions!$N$46,0))</f>
        <v>0.05</v>
      </c>
      <c r="X43" s="271">
        <f>IF(AND(X6&gt;=Assumptions!$N$46, W6&lt;Assumptions!$N$46),1/Assumptions!$N$46-Depreciation!$D$43,IF(X6&lt;Assumptions!$N$46,1/Assumptions!$N$46,0))</f>
        <v>1.666666666666667E-2</v>
      </c>
      <c r="Y43" s="271">
        <f>IF(AND(Y6&gt;=Assumptions!$N$46, X6&lt;Assumptions!$N$46),1/Assumptions!$N$46-Depreciation!$D$43,IF(Y6&lt;Assumptions!$N$46,1/Assumptions!$N$46,0))</f>
        <v>0</v>
      </c>
      <c r="Z43" s="271">
        <f>IF(AND(Z6&gt;=Assumptions!$N$46, Y6&lt;Assumptions!$N$46),1/Assumptions!$N$46-Depreciation!$D$43,IF(Z6&lt;Assumptions!$N$46,1/Assumptions!$N$46,0))</f>
        <v>0</v>
      </c>
      <c r="AA43" s="271">
        <f>IF(AND(AA6&gt;=Assumptions!$N$46, Z6&lt;Assumptions!$N$46),1/Assumptions!$N$46-Depreciation!$D$43,IF(AA6&lt;Assumptions!$N$46,1/Assumptions!$N$46,0))</f>
        <v>0</v>
      </c>
      <c r="AB43" s="271">
        <f>IF(AND(AB6&gt;=Assumptions!$N$46, AA6&lt;Assumptions!$N$46),1/Assumptions!$N$46-Depreciation!$D$43,IF(AB6&lt;Assumptions!$N$46,1/Assumptions!$N$46,0))</f>
        <v>0</v>
      </c>
      <c r="AC43" s="271">
        <f>IF(AND(AC6&gt;=Assumptions!$N$46, AB6&lt;Assumptions!$N$46),1/Assumptions!$N$46-Depreciation!$D$43,IF(AC6&lt;Assumptions!$N$46,1/Assumptions!$N$46,0))</f>
        <v>0</v>
      </c>
      <c r="AD43" s="271">
        <f>IF(AND(AD6&gt;=Assumptions!$N$46, AC6&lt;Assumptions!$N$46),1/Assumptions!$N$46-Depreciation!$D$43,IF(AD6&lt;Assumptions!$N$46,1/Assumptions!$N$46,0))</f>
        <v>0</v>
      </c>
      <c r="AE43" s="271">
        <f>IF(AND(AE6&gt;=Assumptions!$N$46, AD6&lt;Assumptions!$N$46),1/Assumptions!$N$46-Depreciation!$D$43,IF(AE6&lt;Assumptions!$N$46,1/Assumptions!$N$46,0))</f>
        <v>0</v>
      </c>
      <c r="AF43" s="271">
        <f>IF(AND(AF6&gt;=Assumptions!$N$46, AE6&lt;Assumptions!$N$46),1/Assumptions!$N$46-Depreciation!$D$43,IF(AF6&lt;Assumptions!$N$46,1/Assumptions!$N$46,0))</f>
        <v>0</v>
      </c>
      <c r="AG43" s="271">
        <f>IF(AND(AG6&gt;=Assumptions!$N$46, AF6&lt;Assumptions!$N$46),1/Assumptions!$N$46-Depreciation!$D$43,IF(AG6&lt;Assumptions!$N$46,1/Assumptions!$N$46,0))</f>
        <v>0</v>
      </c>
      <c r="AH43" s="271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236</v>
      </c>
      <c r="B45" s="364">
        <f>B16</f>
        <v>139115.34835618577</v>
      </c>
      <c r="C45" s="293"/>
      <c r="D45" s="18">
        <f t="shared" ref="D45:Y45" si="24">D41*$B$45</f>
        <v>2782.3069671237149</v>
      </c>
      <c r="E45" s="18">
        <f t="shared" si="24"/>
        <v>4173.4604506855731</v>
      </c>
      <c r="F45" s="18">
        <f t="shared" si="24"/>
        <v>4173.4604506855731</v>
      </c>
      <c r="G45" s="18">
        <f t="shared" si="24"/>
        <v>4173.4604506855731</v>
      </c>
      <c r="H45" s="18">
        <f t="shared" si="24"/>
        <v>4173.4604506855731</v>
      </c>
      <c r="I45" s="18">
        <f t="shared" si="24"/>
        <v>4173.4604506855731</v>
      </c>
      <c r="J45" s="18">
        <f t="shared" si="24"/>
        <v>4173.4604506855731</v>
      </c>
      <c r="K45" s="18">
        <f t="shared" si="24"/>
        <v>4173.4604506855731</v>
      </c>
      <c r="L45" s="18">
        <f t="shared" si="24"/>
        <v>4173.4604506855731</v>
      </c>
      <c r="M45" s="18">
        <f t="shared" si="24"/>
        <v>4173.4604506855731</v>
      </c>
      <c r="N45" s="18">
        <f t="shared" si="24"/>
        <v>4173.4604506855731</v>
      </c>
      <c r="O45" s="18">
        <f t="shared" si="24"/>
        <v>4173.4604506855731</v>
      </c>
      <c r="P45" s="18">
        <f t="shared" si="24"/>
        <v>4173.4604506855731</v>
      </c>
      <c r="Q45" s="18">
        <f t="shared" si="24"/>
        <v>4173.4604506855731</v>
      </c>
      <c r="R45" s="18">
        <f t="shared" si="24"/>
        <v>4173.4604506855731</v>
      </c>
      <c r="S45" s="18">
        <f t="shared" si="24"/>
        <v>4173.4604506855731</v>
      </c>
      <c r="T45" s="18">
        <f t="shared" si="24"/>
        <v>4173.4604506855731</v>
      </c>
      <c r="U45" s="18">
        <f t="shared" si="24"/>
        <v>4173.4604506855731</v>
      </c>
      <c r="V45" s="18">
        <f t="shared" si="24"/>
        <v>4173.4604506855731</v>
      </c>
      <c r="W45" s="18">
        <f t="shared" si="24"/>
        <v>4173.4604506855731</v>
      </c>
      <c r="X45" s="18">
        <f t="shared" si="24"/>
        <v>4173.4604506855731</v>
      </c>
      <c r="Y45" s="18">
        <f t="shared" si="24"/>
        <v>4173.4604506855731</v>
      </c>
      <c r="Z45" s="18">
        <f t="shared" ref="Z45:AH45" si="25">Z41*$B$45</f>
        <v>4173.4604506855731</v>
      </c>
      <c r="AA45" s="18">
        <f t="shared" si="25"/>
        <v>4173.4604506855731</v>
      </c>
      <c r="AB45" s="18">
        <f t="shared" si="25"/>
        <v>4173.4604506855731</v>
      </c>
      <c r="AC45" s="18">
        <f t="shared" si="25"/>
        <v>4173.4604506855731</v>
      </c>
      <c r="AD45" s="18">
        <f t="shared" si="25"/>
        <v>4173.4604506855731</v>
      </c>
      <c r="AE45" s="18">
        <f t="shared" si="25"/>
        <v>4173.4604506855731</v>
      </c>
      <c r="AF45" s="18">
        <f t="shared" si="25"/>
        <v>4173.4604506855731</v>
      </c>
      <c r="AG45" s="18">
        <f t="shared" si="25"/>
        <v>4173.4604506855731</v>
      </c>
      <c r="AH45" s="18">
        <f t="shared" si="25"/>
        <v>1391.1534835618579</v>
      </c>
      <c r="AI45" s="20"/>
      <c r="AJ45" s="20"/>
      <c r="AK45" s="20"/>
      <c r="AL45" s="20"/>
    </row>
    <row r="46" spans="1:38" s="10" customFormat="1">
      <c r="A46" s="21" t="s">
        <v>237</v>
      </c>
      <c r="B46" s="292">
        <f>B17</f>
        <v>6778.6787999999997</v>
      </c>
      <c r="C46" s="293"/>
      <c r="D46" s="290">
        <f>D42*$B$46</f>
        <v>903.8238399999999</v>
      </c>
      <c r="E46" s="290">
        <f t="shared" ref="E46:AH46" si="26">E42*$B$46</f>
        <v>1355.73576</v>
      </c>
      <c r="F46" s="290">
        <f t="shared" si="26"/>
        <v>1355.73576</v>
      </c>
      <c r="G46" s="290">
        <f t="shared" si="26"/>
        <v>1355.73576</v>
      </c>
      <c r="H46" s="290">
        <f t="shared" si="26"/>
        <v>1355.73576</v>
      </c>
      <c r="I46" s="290">
        <f t="shared" si="26"/>
        <v>451.91192000000007</v>
      </c>
      <c r="J46" s="290">
        <f t="shared" si="26"/>
        <v>0</v>
      </c>
      <c r="K46" s="290">
        <f t="shared" si="26"/>
        <v>0</v>
      </c>
      <c r="L46" s="290">
        <f t="shared" si="26"/>
        <v>0</v>
      </c>
      <c r="M46" s="290">
        <f t="shared" si="26"/>
        <v>0</v>
      </c>
      <c r="N46" s="290">
        <f t="shared" si="26"/>
        <v>0</v>
      </c>
      <c r="O46" s="290">
        <f t="shared" si="26"/>
        <v>0</v>
      </c>
      <c r="P46" s="290">
        <f t="shared" si="26"/>
        <v>0</v>
      </c>
      <c r="Q46" s="290">
        <f t="shared" si="26"/>
        <v>0</v>
      </c>
      <c r="R46" s="290">
        <f t="shared" si="26"/>
        <v>0</v>
      </c>
      <c r="S46" s="290">
        <f t="shared" si="26"/>
        <v>0</v>
      </c>
      <c r="T46" s="290">
        <f t="shared" si="26"/>
        <v>0</v>
      </c>
      <c r="U46" s="290">
        <f t="shared" si="26"/>
        <v>0</v>
      </c>
      <c r="V46" s="290">
        <f t="shared" si="26"/>
        <v>0</v>
      </c>
      <c r="W46" s="290">
        <f t="shared" si="26"/>
        <v>0</v>
      </c>
      <c r="X46" s="290">
        <f t="shared" si="26"/>
        <v>0</v>
      </c>
      <c r="Y46" s="290">
        <f t="shared" si="26"/>
        <v>0</v>
      </c>
      <c r="Z46" s="290">
        <f t="shared" si="26"/>
        <v>0</v>
      </c>
      <c r="AA46" s="290">
        <f t="shared" si="26"/>
        <v>0</v>
      </c>
      <c r="AB46" s="290">
        <f t="shared" si="26"/>
        <v>0</v>
      </c>
      <c r="AC46" s="290">
        <f t="shared" si="26"/>
        <v>0</v>
      </c>
      <c r="AD46" s="290">
        <f t="shared" si="26"/>
        <v>0</v>
      </c>
      <c r="AE46" s="290">
        <f t="shared" si="26"/>
        <v>0</v>
      </c>
      <c r="AF46" s="290">
        <f t="shared" si="26"/>
        <v>0</v>
      </c>
      <c r="AG46" s="290">
        <f t="shared" si="26"/>
        <v>0</v>
      </c>
      <c r="AH46" s="29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303</v>
      </c>
      <c r="B47" s="365">
        <f>B18</f>
        <v>0</v>
      </c>
      <c r="C47" s="293"/>
      <c r="D47" s="366">
        <f t="shared" ref="D47:Y47" si="27">D43*$B$47</f>
        <v>0</v>
      </c>
      <c r="E47" s="366">
        <f t="shared" si="27"/>
        <v>0</v>
      </c>
      <c r="F47" s="366">
        <f t="shared" si="27"/>
        <v>0</v>
      </c>
      <c r="G47" s="366">
        <f t="shared" si="27"/>
        <v>0</v>
      </c>
      <c r="H47" s="366">
        <f t="shared" si="27"/>
        <v>0</v>
      </c>
      <c r="I47" s="366">
        <f t="shared" si="27"/>
        <v>0</v>
      </c>
      <c r="J47" s="366">
        <f t="shared" si="27"/>
        <v>0</v>
      </c>
      <c r="K47" s="366">
        <f t="shared" si="27"/>
        <v>0</v>
      </c>
      <c r="L47" s="366">
        <f t="shared" si="27"/>
        <v>0</v>
      </c>
      <c r="M47" s="366">
        <f t="shared" si="27"/>
        <v>0</v>
      </c>
      <c r="N47" s="366">
        <f t="shared" si="27"/>
        <v>0</v>
      </c>
      <c r="O47" s="366">
        <f t="shared" si="27"/>
        <v>0</v>
      </c>
      <c r="P47" s="366">
        <f t="shared" si="27"/>
        <v>0</v>
      </c>
      <c r="Q47" s="366">
        <f t="shared" si="27"/>
        <v>0</v>
      </c>
      <c r="R47" s="366">
        <f t="shared" si="27"/>
        <v>0</v>
      </c>
      <c r="S47" s="366">
        <f t="shared" si="27"/>
        <v>0</v>
      </c>
      <c r="T47" s="366">
        <f t="shared" si="27"/>
        <v>0</v>
      </c>
      <c r="U47" s="366">
        <f t="shared" si="27"/>
        <v>0</v>
      </c>
      <c r="V47" s="366">
        <f t="shared" si="27"/>
        <v>0</v>
      </c>
      <c r="W47" s="366">
        <f t="shared" si="27"/>
        <v>0</v>
      </c>
      <c r="X47" s="366">
        <f t="shared" si="27"/>
        <v>0</v>
      </c>
      <c r="Y47" s="366">
        <f t="shared" si="27"/>
        <v>0</v>
      </c>
      <c r="Z47" s="366">
        <f t="shared" ref="Z47:AH47" si="28">Z43*$B$47</f>
        <v>0</v>
      </c>
      <c r="AA47" s="366">
        <f t="shared" si="28"/>
        <v>0</v>
      </c>
      <c r="AB47" s="366">
        <f t="shared" si="28"/>
        <v>0</v>
      </c>
      <c r="AC47" s="366">
        <f t="shared" si="28"/>
        <v>0</v>
      </c>
      <c r="AD47" s="366">
        <f t="shared" si="28"/>
        <v>0</v>
      </c>
      <c r="AE47" s="366">
        <f t="shared" si="28"/>
        <v>0</v>
      </c>
      <c r="AF47" s="366">
        <f t="shared" si="28"/>
        <v>0</v>
      </c>
      <c r="AG47" s="366">
        <f t="shared" si="28"/>
        <v>0</v>
      </c>
      <c r="AH47" s="36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145894.02715618577</v>
      </c>
      <c r="C48" s="293"/>
      <c r="D48" s="18">
        <f t="shared" ref="D48:Y48" si="29">SUM(D45:D47)</f>
        <v>3686.1308071237149</v>
      </c>
      <c r="E48" s="18">
        <f t="shared" si="29"/>
        <v>5529.1962106855735</v>
      </c>
      <c r="F48" s="18">
        <f t="shared" si="29"/>
        <v>5529.1962106855735</v>
      </c>
      <c r="G48" s="18">
        <f t="shared" si="29"/>
        <v>5529.1962106855735</v>
      </c>
      <c r="H48" s="18">
        <f t="shared" si="29"/>
        <v>5529.1962106855735</v>
      </c>
      <c r="I48" s="18">
        <f t="shared" si="29"/>
        <v>4625.3723706855735</v>
      </c>
      <c r="J48" s="18">
        <f t="shared" si="29"/>
        <v>4173.4604506855731</v>
      </c>
      <c r="K48" s="18">
        <f t="shared" si="29"/>
        <v>4173.4604506855731</v>
      </c>
      <c r="L48" s="18">
        <f t="shared" si="29"/>
        <v>4173.4604506855731</v>
      </c>
      <c r="M48" s="18">
        <f t="shared" si="29"/>
        <v>4173.4604506855731</v>
      </c>
      <c r="N48" s="18">
        <f t="shared" si="29"/>
        <v>4173.4604506855731</v>
      </c>
      <c r="O48" s="18">
        <f t="shared" si="29"/>
        <v>4173.4604506855731</v>
      </c>
      <c r="P48" s="18">
        <f t="shared" si="29"/>
        <v>4173.4604506855731</v>
      </c>
      <c r="Q48" s="18">
        <f t="shared" si="29"/>
        <v>4173.4604506855731</v>
      </c>
      <c r="R48" s="18">
        <f t="shared" si="29"/>
        <v>4173.4604506855731</v>
      </c>
      <c r="S48" s="18">
        <f t="shared" si="29"/>
        <v>4173.4604506855731</v>
      </c>
      <c r="T48" s="18">
        <f t="shared" si="29"/>
        <v>4173.4604506855731</v>
      </c>
      <c r="U48" s="18">
        <f t="shared" si="29"/>
        <v>4173.4604506855731</v>
      </c>
      <c r="V48" s="18">
        <f t="shared" si="29"/>
        <v>4173.4604506855731</v>
      </c>
      <c r="W48" s="18">
        <f t="shared" si="29"/>
        <v>4173.4604506855731</v>
      </c>
      <c r="X48" s="18">
        <f t="shared" si="29"/>
        <v>4173.4604506855731</v>
      </c>
      <c r="Y48" s="18">
        <f t="shared" si="29"/>
        <v>4173.4604506855731</v>
      </c>
      <c r="Z48" s="18">
        <f t="shared" ref="Z48:AH48" si="30">SUM(Z45:Z47)</f>
        <v>4173.4604506855731</v>
      </c>
      <c r="AA48" s="18">
        <f t="shared" si="30"/>
        <v>4173.4604506855731</v>
      </c>
      <c r="AB48" s="18">
        <f t="shared" si="30"/>
        <v>4173.4604506855731</v>
      </c>
      <c r="AC48" s="18">
        <f t="shared" si="30"/>
        <v>4173.4604506855731</v>
      </c>
      <c r="AD48" s="18">
        <f t="shared" si="30"/>
        <v>4173.4604506855731</v>
      </c>
      <c r="AE48" s="18">
        <f t="shared" si="30"/>
        <v>4173.4604506855731</v>
      </c>
      <c r="AF48" s="18">
        <f t="shared" si="30"/>
        <v>4173.4604506855731</v>
      </c>
      <c r="AG48" s="18">
        <f t="shared" si="30"/>
        <v>4173.4604506855731</v>
      </c>
      <c r="AH48" s="18">
        <f t="shared" si="30"/>
        <v>1391.1534835618579</v>
      </c>
      <c r="AI48" s="20"/>
      <c r="AJ48" s="20"/>
      <c r="AK48" s="20"/>
      <c r="AL48" s="20"/>
    </row>
    <row r="49" spans="1:38">
      <c r="A49" s="22"/>
      <c r="B49" s="18"/>
      <c r="C49" s="36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5" t="s">
        <v>66</v>
      </c>
      <c r="B50" s="370">
        <f>B48</f>
        <v>145894.02715618577</v>
      </c>
      <c r="C50" s="369"/>
      <c r="D50" s="294">
        <f>B48-D48</f>
        <v>142207.89634906204</v>
      </c>
      <c r="E50" s="294">
        <f>D50-E48</f>
        <v>136678.70013837647</v>
      </c>
      <c r="F50" s="294">
        <f t="shared" ref="F50:Y50" si="31">E50-F48</f>
        <v>131149.50392769091</v>
      </c>
      <c r="G50" s="294">
        <f t="shared" si="31"/>
        <v>125620.30771700533</v>
      </c>
      <c r="H50" s="294">
        <f t="shared" si="31"/>
        <v>120091.11150631975</v>
      </c>
      <c r="I50" s="294">
        <f t="shared" si="31"/>
        <v>115465.73913563418</v>
      </c>
      <c r="J50" s="294">
        <f t="shared" si="31"/>
        <v>111292.27868494861</v>
      </c>
      <c r="K50" s="294">
        <f t="shared" si="31"/>
        <v>107118.81823426305</v>
      </c>
      <c r="L50" s="294">
        <f t="shared" si="31"/>
        <v>102945.35778357748</v>
      </c>
      <c r="M50" s="294">
        <f t="shared" si="31"/>
        <v>98771.897332891909</v>
      </c>
      <c r="N50" s="294">
        <f t="shared" si="31"/>
        <v>94598.436882206341</v>
      </c>
      <c r="O50" s="294">
        <f t="shared" si="31"/>
        <v>90424.976431520772</v>
      </c>
      <c r="P50" s="294">
        <f t="shared" si="31"/>
        <v>86251.515980835204</v>
      </c>
      <c r="Q50" s="294">
        <f t="shared" si="31"/>
        <v>82078.055530149635</v>
      </c>
      <c r="R50" s="294">
        <f t="shared" si="31"/>
        <v>77904.595079464067</v>
      </c>
      <c r="S50" s="294">
        <f t="shared" si="31"/>
        <v>73731.134628778498</v>
      </c>
      <c r="T50" s="294">
        <f t="shared" si="31"/>
        <v>69557.67417809293</v>
      </c>
      <c r="U50" s="294">
        <f t="shared" si="31"/>
        <v>65384.213727407354</v>
      </c>
      <c r="V50" s="294">
        <f t="shared" si="31"/>
        <v>61210.753276721778</v>
      </c>
      <c r="W50" s="294">
        <f t="shared" si="31"/>
        <v>57037.292826036202</v>
      </c>
      <c r="X50" s="294">
        <f t="shared" si="31"/>
        <v>52863.832375350627</v>
      </c>
      <c r="Y50" s="294">
        <f t="shared" si="31"/>
        <v>48690.371924665051</v>
      </c>
      <c r="Z50" s="294">
        <f t="shared" ref="Z50:AH50" si="32">Y50-Z48</f>
        <v>44516.911473979475</v>
      </c>
      <c r="AA50" s="294">
        <f t="shared" si="32"/>
        <v>40343.451023293899</v>
      </c>
      <c r="AB50" s="294">
        <f t="shared" si="32"/>
        <v>36169.990572608323</v>
      </c>
      <c r="AC50" s="294">
        <f t="shared" si="32"/>
        <v>31996.530121922751</v>
      </c>
      <c r="AD50" s="294">
        <f t="shared" si="32"/>
        <v>27823.069671237179</v>
      </c>
      <c r="AE50" s="294">
        <f t="shared" si="32"/>
        <v>23649.609220551607</v>
      </c>
      <c r="AF50" s="294">
        <f t="shared" si="32"/>
        <v>19476.148769866035</v>
      </c>
      <c r="AG50" s="294">
        <f t="shared" si="32"/>
        <v>15302.688319180463</v>
      </c>
      <c r="AH50" s="294">
        <f t="shared" si="32"/>
        <v>13911.534835618604</v>
      </c>
      <c r="AI50" s="236"/>
      <c r="AJ50" s="236"/>
      <c r="AK50" s="236"/>
      <c r="AL50" s="236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J20" sqref="J20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New Orleans, Louisiana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2">
        <f>'Price_Technical Assumption'!D7</f>
        <v>0.66666666666666663</v>
      </c>
      <c r="C6" s="212">
        <f>'Price_Technical Assumption'!E7</f>
        <v>1.6666666666666665</v>
      </c>
      <c r="D6" s="212">
        <f>'Price_Technical Assumption'!F7</f>
        <v>2.6666666666666665</v>
      </c>
      <c r="E6" s="212">
        <f>'Price_Technical Assumption'!G7</f>
        <v>3.6666666666666665</v>
      </c>
      <c r="F6" s="212">
        <f>'Price_Technical Assumption'!H7</f>
        <v>4.6666666666666661</v>
      </c>
      <c r="G6" s="212">
        <f>'Price_Technical Assumption'!I7</f>
        <v>5.6666666666666661</v>
      </c>
      <c r="H6" s="212">
        <f>'Price_Technical Assumption'!J7</f>
        <v>6.6666666666666661</v>
      </c>
      <c r="I6" s="212">
        <f>'Price_Technical Assumption'!K7</f>
        <v>7.6666666666666661</v>
      </c>
      <c r="J6" s="212">
        <f>'Price_Technical Assumption'!L7</f>
        <v>8.6666666666666661</v>
      </c>
      <c r="K6" s="212">
        <f>'Price_Technical Assumption'!M7</f>
        <v>9.6666666666666661</v>
      </c>
      <c r="L6" s="212">
        <f>'Price_Technical Assumption'!N7</f>
        <v>10.666666666666666</v>
      </c>
      <c r="M6" s="212">
        <f>'Price_Technical Assumption'!O7</f>
        <v>11.666666666666666</v>
      </c>
      <c r="N6" s="212">
        <f>'Price_Technical Assumption'!P7</f>
        <v>12.666666666666666</v>
      </c>
      <c r="O6" s="212">
        <f>'Price_Technical Assumption'!Q7</f>
        <v>13.666666666666666</v>
      </c>
      <c r="P6" s="212">
        <f>'Price_Technical Assumption'!R7</f>
        <v>14.666666666666666</v>
      </c>
      <c r="Q6" s="212">
        <f>'Price_Technical Assumption'!S7</f>
        <v>15.666666666666666</v>
      </c>
      <c r="R6" s="212">
        <f>'Price_Technical Assumption'!T7</f>
        <v>16.666666666666664</v>
      </c>
      <c r="S6" s="212">
        <f>'Price_Technical Assumption'!U7</f>
        <v>17.666666666666664</v>
      </c>
      <c r="T6" s="212">
        <f>'Price_Technical Assumption'!V7</f>
        <v>18.666666666666664</v>
      </c>
      <c r="U6" s="212">
        <f>'Price_Technical Assumption'!W7</f>
        <v>19.666666666666664</v>
      </c>
      <c r="V6" s="212">
        <f>'Price_Technical Assumption'!X7</f>
        <v>20.666666666666664</v>
      </c>
      <c r="W6" s="212">
        <f>'Price_Technical Assumption'!Y7</f>
        <v>21.666666666666664</v>
      </c>
      <c r="X6" s="212">
        <f>'Price_Technical Assumption'!Z7</f>
        <v>22.666666666666664</v>
      </c>
      <c r="Y6" s="212">
        <f>'Price_Technical Assumption'!AA7</f>
        <v>23.666666666666664</v>
      </c>
      <c r="Z6" s="212">
        <f>'Price_Technical Assumption'!AB7</f>
        <v>24.666666666666664</v>
      </c>
      <c r="AA6" s="212">
        <f>'Price_Technical Assumption'!AC7</f>
        <v>25.666666666666664</v>
      </c>
      <c r="AB6" s="212">
        <f>'Price_Technical Assumption'!AD7</f>
        <v>26.666666666666664</v>
      </c>
      <c r="AC6" s="212">
        <f>'Price_Technical Assumption'!AE7</f>
        <v>27.666666666666664</v>
      </c>
      <c r="AD6" s="212">
        <f>'Price_Technical Assumption'!AF7</f>
        <v>28.666666666666664</v>
      </c>
      <c r="AE6" s="212">
        <f>'Price_Technical Assumption'!AG7</f>
        <v>29.666666666666664</v>
      </c>
      <c r="AF6" s="212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3">
        <f>Depreciation!D8</f>
        <v>37256</v>
      </c>
      <c r="C8" s="203">
        <f>Depreciation!E8</f>
        <v>37621</v>
      </c>
      <c r="D8" s="203">
        <f>Depreciation!F8</f>
        <v>37986</v>
      </c>
      <c r="E8" s="203">
        <f>Depreciation!G8</f>
        <v>38352</v>
      </c>
      <c r="F8" s="203">
        <f>Depreciation!H8</f>
        <v>38717</v>
      </c>
      <c r="G8" s="203">
        <f>Depreciation!I8</f>
        <v>39082</v>
      </c>
      <c r="H8" s="203">
        <f>Depreciation!J8</f>
        <v>39447</v>
      </c>
      <c r="I8" s="203">
        <f>Depreciation!K8</f>
        <v>39813</v>
      </c>
      <c r="J8" s="203">
        <f>Depreciation!L8</f>
        <v>40178</v>
      </c>
      <c r="K8" s="203">
        <f>Depreciation!M8</f>
        <v>40543</v>
      </c>
      <c r="L8" s="203">
        <f>Depreciation!N8</f>
        <v>40908</v>
      </c>
      <c r="M8" s="203">
        <f>Depreciation!O8</f>
        <v>41274</v>
      </c>
      <c r="N8" s="203">
        <f>Depreciation!P8</f>
        <v>41639</v>
      </c>
      <c r="O8" s="203">
        <f>Depreciation!Q8</f>
        <v>42004</v>
      </c>
      <c r="P8" s="203">
        <f>Depreciation!R8</f>
        <v>42369</v>
      </c>
      <c r="Q8" s="203">
        <f>Depreciation!S8</f>
        <v>42735</v>
      </c>
      <c r="R8" s="203">
        <f>Depreciation!T8</f>
        <v>43100</v>
      </c>
      <c r="S8" s="203">
        <f>Depreciation!U8</f>
        <v>43465</v>
      </c>
      <c r="T8" s="203">
        <f>Depreciation!V8</f>
        <v>43830</v>
      </c>
      <c r="U8" s="203">
        <f>Depreciation!W8</f>
        <v>44196</v>
      </c>
      <c r="V8" s="203">
        <f>Depreciation!X8</f>
        <v>44561</v>
      </c>
      <c r="W8" s="203">
        <f>Depreciation!Y8</f>
        <v>44926</v>
      </c>
      <c r="X8" s="203">
        <f>Depreciation!Z8</f>
        <v>45291</v>
      </c>
      <c r="Y8" s="203">
        <f>Depreciation!AA8</f>
        <v>45657</v>
      </c>
      <c r="Z8" s="203">
        <f>Depreciation!AB8</f>
        <v>46022</v>
      </c>
      <c r="AA8" s="203">
        <f>Depreciation!AC8</f>
        <v>46387</v>
      </c>
      <c r="AB8" s="203">
        <f>Depreciation!AD8</f>
        <v>46752</v>
      </c>
      <c r="AC8" s="203">
        <f>Depreciation!AE8</f>
        <v>47118</v>
      </c>
      <c r="AD8" s="203">
        <f>Depreciation!AF8</f>
        <v>47483</v>
      </c>
      <c r="AE8" s="203">
        <f>Depreciation!AG8</f>
        <v>47848</v>
      </c>
      <c r="AF8" s="203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198</v>
      </c>
      <c r="B10" s="19">
        <f>IS!C40</f>
        <v>556.08276397456848</v>
      </c>
      <c r="C10" s="19">
        <f>IS!D40</f>
        <v>1163.721555938082</v>
      </c>
      <c r="D10" s="19">
        <f>IS!E40</f>
        <v>1219.6850428706457</v>
      </c>
      <c r="E10" s="19">
        <f>IS!F40</f>
        <v>1280.8154738884896</v>
      </c>
      <c r="F10" s="19">
        <f>IS!G40</f>
        <v>1347.4995250775801</v>
      </c>
      <c r="G10" s="19">
        <f>IS!H40</f>
        <v>2323.975279649907</v>
      </c>
      <c r="H10" s="19">
        <f>IS!I40</f>
        <v>2854.9507276383019</v>
      </c>
      <c r="I10" s="19">
        <f>IS!J40</f>
        <v>2940.9012015697999</v>
      </c>
      <c r="J10" s="19">
        <f>IS!K40</f>
        <v>3034.2477576401025</v>
      </c>
      <c r="K10" s="19">
        <f>IS!L40</f>
        <v>3135.5357125781948</v>
      </c>
      <c r="L10" s="19">
        <f>IS!M40</f>
        <v>3245.3491071036824</v>
      </c>
      <c r="M10" s="19">
        <f>IS!N40</f>
        <v>3364.3134276425171</v>
      </c>
      <c r="N10" s="19">
        <f>IS!O40</f>
        <v>3493.0985187835631</v>
      </c>
      <c r="O10" s="19">
        <f>IS!P40</f>
        <v>3632.4216998322672</v>
      </c>
      <c r="P10" s="19">
        <f>IS!Q40</f>
        <v>3783.0510997527172</v>
      </c>
      <c r="Q10" s="19">
        <f>IS!R40</f>
        <v>3945.8092257899089</v>
      </c>
      <c r="R10" s="19">
        <f>IS!S40</f>
        <v>4121.5767821344534</v>
      </c>
      <c r="S10" s="19">
        <f>IS!T40</f>
        <v>4311.2967561375617</v>
      </c>
      <c r="T10" s="19">
        <f>IS!U40</f>
        <v>4515.9787908096241</v>
      </c>
      <c r="U10" s="19">
        <f>IS!V40</f>
        <v>4736.7038636472398</v>
      </c>
      <c r="V10" s="19">
        <f>IS!W40</f>
        <v>4974.6292932367742</v>
      </c>
      <c r="W10" s="19">
        <f>IS!X40</f>
        <v>5230.9940965839223</v>
      </c>
      <c r="X10" s="19">
        <f>IS!Y40</f>
        <v>5507.1247217254422</v>
      </c>
      <c r="Y10" s="19">
        <f>IS!Z40</f>
        <v>5804.4411818981434</v>
      </c>
      <c r="Z10" s="19">
        <f>IS!AA40</f>
        <v>6124.4636193796323</v>
      </c>
      <c r="AA10" s="19">
        <f>IS!AB40</f>
        <v>6468.8193290834643</v>
      </c>
      <c r="AB10" s="19">
        <f>IS!AC40</f>
        <v>6839.2502740971686</v>
      </c>
      <c r="AC10" s="19">
        <f>IS!AD40</f>
        <v>7237.6211276050508</v>
      </c>
      <c r="AD10" s="19">
        <f>IS!AE40</f>
        <v>7665.9278780485693</v>
      </c>
      <c r="AE10" s="19">
        <f>IS!AF40</f>
        <v>8126.3070369570214</v>
      </c>
      <c r="AF10" s="19">
        <f>IS!AG40</f>
        <v>996.0662406101635</v>
      </c>
    </row>
    <row r="11" spans="1:32">
      <c r="A11" s="21" t="s">
        <v>68</v>
      </c>
      <c r="B11" s="19">
        <f>IS!C34</f>
        <v>3686.1308071237149</v>
      </c>
      <c r="C11" s="19">
        <f>IS!D34</f>
        <v>5529.1962106855735</v>
      </c>
      <c r="D11" s="19">
        <f>IS!E34</f>
        <v>5529.1962106855735</v>
      </c>
      <c r="E11" s="19">
        <f>IS!F34</f>
        <v>5529.1962106855735</v>
      </c>
      <c r="F11" s="19">
        <f>IS!G34</f>
        <v>5529.1962106855735</v>
      </c>
      <c r="G11" s="19">
        <f>IS!H34</f>
        <v>4625.3723706855735</v>
      </c>
      <c r="H11" s="19">
        <f>IS!I34</f>
        <v>4173.4604506855731</v>
      </c>
      <c r="I11" s="19">
        <f>IS!J34</f>
        <v>4173.4604506855731</v>
      </c>
      <c r="J11" s="19">
        <f>IS!K34</f>
        <v>4173.4604506855731</v>
      </c>
      <c r="K11" s="19">
        <f>IS!L34</f>
        <v>4173.4604506855731</v>
      </c>
      <c r="L11" s="19">
        <f>IS!M34</f>
        <v>4173.4604506855731</v>
      </c>
      <c r="M11" s="19">
        <f>IS!N34</f>
        <v>4173.4604506855731</v>
      </c>
      <c r="N11" s="19">
        <f>IS!O34</f>
        <v>4173.4604506855731</v>
      </c>
      <c r="O11" s="19">
        <f>IS!P34</f>
        <v>4173.4604506855731</v>
      </c>
      <c r="P11" s="19">
        <f>IS!Q34</f>
        <v>4173.4604506855731</v>
      </c>
      <c r="Q11" s="19">
        <f>IS!R34</f>
        <v>4173.4604506855731</v>
      </c>
      <c r="R11" s="19">
        <f>IS!S34</f>
        <v>4173.4604506855731</v>
      </c>
      <c r="S11" s="19">
        <f>IS!T34</f>
        <v>4173.4604506855731</v>
      </c>
      <c r="T11" s="19">
        <f>IS!U34</f>
        <v>4173.4604506855731</v>
      </c>
      <c r="U11" s="19">
        <f>IS!V34</f>
        <v>4173.4604506855731</v>
      </c>
      <c r="V11" s="19">
        <f>IS!W34</f>
        <v>4173.4604506855731</v>
      </c>
      <c r="W11" s="19">
        <f>IS!X34</f>
        <v>4173.4604506855731</v>
      </c>
      <c r="X11" s="19">
        <f>IS!Y34</f>
        <v>4173.4604506855731</v>
      </c>
      <c r="Y11" s="19">
        <f>IS!Z34</f>
        <v>4173.4604506855731</v>
      </c>
      <c r="Z11" s="19">
        <f>IS!AA34</f>
        <v>4173.4604506855731</v>
      </c>
      <c r="AA11" s="19">
        <f>IS!AB34</f>
        <v>4173.4604506855731</v>
      </c>
      <c r="AB11" s="19">
        <f>IS!AC34</f>
        <v>4173.4604506855731</v>
      </c>
      <c r="AC11" s="19">
        <f>IS!AD34</f>
        <v>4173.4604506855731</v>
      </c>
      <c r="AD11" s="19">
        <f>IS!AE34</f>
        <v>4173.4604506855731</v>
      </c>
      <c r="AE11" s="19">
        <f>IS!AF34</f>
        <v>4173.4604506855731</v>
      </c>
      <c r="AF11" s="19">
        <f>IS!AG34</f>
        <v>1391.1534835618579</v>
      </c>
    </row>
    <row r="12" spans="1:32" ht="15">
      <c r="A12" s="21" t="s">
        <v>69</v>
      </c>
      <c r="B12" s="130">
        <f>-Depreciation!D34</f>
        <v>-7859.5912578092893</v>
      </c>
      <c r="C12" s="130">
        <f>-Depreciation!E34</f>
        <v>-14571.693853837649</v>
      </c>
      <c r="D12" s="130">
        <f>-Depreciation!F34</f>
        <v>-13250.098044453884</v>
      </c>
      <c r="E12" s="130">
        <f>-Depreciation!G34</f>
        <v>-12067.617583426303</v>
      </c>
      <c r="F12" s="130">
        <f>-Depreciation!H34</f>
        <v>-10996.429401083673</v>
      </c>
      <c r="G12" s="130">
        <f>-Depreciation!I34</f>
        <v>-9118.798122590375</v>
      </c>
      <c r="H12" s="130">
        <f>-Depreciation!J34</f>
        <v>-8207.8055530149595</v>
      </c>
      <c r="I12" s="130">
        <f>-Depreciation!K34</f>
        <v>-8221.7170878505785</v>
      </c>
      <c r="J12" s="130">
        <f>-Depreciation!L34</f>
        <v>-8207.8055530149595</v>
      </c>
      <c r="K12" s="130">
        <f>-Depreciation!M34</f>
        <v>-8221.7170878505785</v>
      </c>
      <c r="L12" s="130">
        <f>-Depreciation!N34</f>
        <v>-8207.8055530149595</v>
      </c>
      <c r="M12" s="130">
        <f>-Depreciation!O34</f>
        <v>-8221.7170878505785</v>
      </c>
      <c r="N12" s="130">
        <f>-Depreciation!P34</f>
        <v>-8207.8055530149595</v>
      </c>
      <c r="O12" s="130">
        <f>-Depreciation!Q34</f>
        <v>-8221.7170878505785</v>
      </c>
      <c r="P12" s="130">
        <f>-Depreciation!R34</f>
        <v>-8207.8055530149595</v>
      </c>
      <c r="Q12" s="130">
        <f>-Depreciation!S34</f>
        <v>-4103.9027765074798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-3617.3776867110055</v>
      </c>
      <c r="C13" s="23">
        <f t="shared" ref="C13:W13" si="0">SUM(C10:C12)</f>
        <v>-7878.7760872139934</v>
      </c>
      <c r="D13" s="23">
        <f t="shared" si="0"/>
        <v>-6501.2167908976644</v>
      </c>
      <c r="E13" s="23">
        <f t="shared" si="0"/>
        <v>-5257.60589885224</v>
      </c>
      <c r="F13" s="23">
        <f t="shared" si="0"/>
        <v>-4119.7336653205193</v>
      </c>
      <c r="G13" s="23">
        <f t="shared" si="0"/>
        <v>-2169.4504722548945</v>
      </c>
      <c r="H13" s="23">
        <f t="shared" si="0"/>
        <v>-1179.3943746910845</v>
      </c>
      <c r="I13" s="23">
        <f t="shared" si="0"/>
        <v>-1107.3554355952056</v>
      </c>
      <c r="J13" s="23">
        <f t="shared" si="0"/>
        <v>-1000.097344689284</v>
      </c>
      <c r="K13" s="23">
        <f t="shared" si="0"/>
        <v>-912.72092458681072</v>
      </c>
      <c r="L13" s="23">
        <f t="shared" si="0"/>
        <v>-788.99599522570406</v>
      </c>
      <c r="M13" s="23">
        <f t="shared" si="0"/>
        <v>-683.94320952248836</v>
      </c>
      <c r="N13" s="23">
        <f t="shared" si="0"/>
        <v>-541.24658354582334</v>
      </c>
      <c r="O13" s="23">
        <f t="shared" si="0"/>
        <v>-415.83493733273826</v>
      </c>
      <c r="P13" s="23">
        <f t="shared" si="0"/>
        <v>-251.2940025766693</v>
      </c>
      <c r="Q13" s="23">
        <f t="shared" si="0"/>
        <v>4015.3668999680021</v>
      </c>
      <c r="R13" s="23">
        <f t="shared" si="0"/>
        <v>8295.0372328200265</v>
      </c>
      <c r="S13" s="23">
        <f t="shared" si="0"/>
        <v>8484.7572068231348</v>
      </c>
      <c r="T13" s="23">
        <f t="shared" si="0"/>
        <v>8689.4392414951981</v>
      </c>
      <c r="U13" s="23">
        <f t="shared" si="0"/>
        <v>8910.1643143328129</v>
      </c>
      <c r="V13" s="23">
        <f t="shared" si="0"/>
        <v>9148.0897439223481</v>
      </c>
      <c r="W13" s="23">
        <f t="shared" si="0"/>
        <v>9404.4545472694954</v>
      </c>
      <c r="X13" s="23">
        <f t="shared" ref="X13:AF13" si="1">SUM(X10:X12)</f>
        <v>9680.5851724110144</v>
      </c>
      <c r="Y13" s="23">
        <f t="shared" si="1"/>
        <v>9977.9016325837165</v>
      </c>
      <c r="Z13" s="23">
        <f t="shared" si="1"/>
        <v>10297.924070065204</v>
      </c>
      <c r="AA13" s="23">
        <f t="shared" si="1"/>
        <v>10642.279779769036</v>
      </c>
      <c r="AB13" s="23">
        <f t="shared" si="1"/>
        <v>11012.710724782741</v>
      </c>
      <c r="AC13" s="23">
        <f t="shared" si="1"/>
        <v>11411.081578290625</v>
      </c>
      <c r="AD13" s="23">
        <f t="shared" si="1"/>
        <v>11839.388328734141</v>
      </c>
      <c r="AE13" s="23">
        <f t="shared" si="1"/>
        <v>12299.767487642595</v>
      </c>
      <c r="AF13" s="23">
        <f t="shared" si="1"/>
        <v>2387.2197241720214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-253.21643806977042</v>
      </c>
      <c r="C16" s="19">
        <f t="shared" si="2"/>
        <v>-551.51432610497955</v>
      </c>
      <c r="D16" s="19">
        <f t="shared" si="2"/>
        <v>-455.08517536283654</v>
      </c>
      <c r="E16" s="19">
        <f t="shared" si="2"/>
        <v>-368.03241291965685</v>
      </c>
      <c r="F16" s="19">
        <f t="shared" si="2"/>
        <v>-288.3813565724364</v>
      </c>
      <c r="G16" s="19">
        <f t="shared" si="2"/>
        <v>-151.86153305784262</v>
      </c>
      <c r="H16" s="19">
        <f t="shared" si="2"/>
        <v>-82.557606228375931</v>
      </c>
      <c r="I16" s="19">
        <f t="shared" si="2"/>
        <v>-77.5148804916644</v>
      </c>
      <c r="J16" s="19">
        <f t="shared" si="2"/>
        <v>-70.006814128249886</v>
      </c>
      <c r="K16" s="19">
        <f t="shared" si="2"/>
        <v>-63.890464721076754</v>
      </c>
      <c r="L16" s="19">
        <f t="shared" si="2"/>
        <v>-55.229719665799287</v>
      </c>
      <c r="M16" s="19">
        <f t="shared" si="2"/>
        <v>-47.876024666574189</v>
      </c>
      <c r="N16" s="19">
        <f t="shared" si="2"/>
        <v>-37.887260848207639</v>
      </c>
      <c r="O16" s="19">
        <f t="shared" si="2"/>
        <v>-29.108445613291682</v>
      </c>
      <c r="P16" s="19">
        <f t="shared" si="2"/>
        <v>-17.590580180366853</v>
      </c>
      <c r="Q16" s="19">
        <f t="shared" si="2"/>
        <v>281.07568299776017</v>
      </c>
      <c r="R16" s="19">
        <f t="shared" si="2"/>
        <v>580.65260629740192</v>
      </c>
      <c r="S16" s="19">
        <f t="shared" si="2"/>
        <v>593.93300447761953</v>
      </c>
      <c r="T16" s="19">
        <f t="shared" si="2"/>
        <v>608.26074690466396</v>
      </c>
      <c r="U16" s="19">
        <f t="shared" si="2"/>
        <v>623.71150200329691</v>
      </c>
      <c r="V16" s="19">
        <f t="shared" si="2"/>
        <v>640.36628207456442</v>
      </c>
      <c r="W16" s="19">
        <f t="shared" si="2"/>
        <v>658.31181830886476</v>
      </c>
      <c r="X16" s="19">
        <f t="shared" si="2"/>
        <v>677.64096206877105</v>
      </c>
      <c r="Y16" s="19">
        <f t="shared" si="2"/>
        <v>698.45311428086018</v>
      </c>
      <c r="Z16" s="19">
        <f t="shared" si="2"/>
        <v>720.85468490456435</v>
      </c>
      <c r="AA16" s="19">
        <f t="shared" si="2"/>
        <v>744.95958458383257</v>
      </c>
      <c r="AB16" s="19">
        <f t="shared" si="2"/>
        <v>770.88975073479196</v>
      </c>
      <c r="AC16" s="19">
        <f t="shared" si="2"/>
        <v>798.77571048034383</v>
      </c>
      <c r="AD16" s="19">
        <f t="shared" si="2"/>
        <v>828.75718301139</v>
      </c>
      <c r="AE16" s="19">
        <f t="shared" si="2"/>
        <v>860.9837241349818</v>
      </c>
      <c r="AF16" s="19">
        <f t="shared" si="2"/>
        <v>167.10538069204151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253.21643806977042</v>
      </c>
      <c r="D18" s="19">
        <f t="shared" ref="D18:W18" si="3">C22</f>
        <v>804.73076417474999</v>
      </c>
      <c r="E18" s="19">
        <f t="shared" si="3"/>
        <v>1259.8159395375865</v>
      </c>
      <c r="F18" s="19">
        <f t="shared" si="3"/>
        <v>1627.8483524572434</v>
      </c>
      <c r="G18" s="19">
        <f t="shared" si="3"/>
        <v>1916.2297090296797</v>
      </c>
      <c r="H18" s="19">
        <f t="shared" si="3"/>
        <v>2068.0912420875225</v>
      </c>
      <c r="I18" s="19">
        <f t="shared" si="3"/>
        <v>2150.6488483158982</v>
      </c>
      <c r="J18" s="19">
        <f t="shared" si="3"/>
        <v>2228.1637288075626</v>
      </c>
      <c r="K18" s="19">
        <f t="shared" si="3"/>
        <v>2044.9541048660421</v>
      </c>
      <c r="L18" s="19">
        <f t="shared" si="3"/>
        <v>1810.5466815519096</v>
      </c>
      <c r="M18" s="19">
        <f t="shared" si="3"/>
        <v>1865.776401217709</v>
      </c>
      <c r="N18" s="19">
        <f t="shared" si="3"/>
        <v>1913.6524258842833</v>
      </c>
      <c r="O18" s="19">
        <f t="shared" si="3"/>
        <v>1951.539686732491</v>
      </c>
      <c r="P18" s="19">
        <f>O22</f>
        <v>1980.6481323457826</v>
      </c>
      <c r="Q18" s="19">
        <f t="shared" si="3"/>
        <v>1998.2387125261496</v>
      </c>
      <c r="R18" s="19">
        <f t="shared" si="3"/>
        <v>1717.1630295283894</v>
      </c>
      <c r="S18" s="19">
        <f t="shared" si="3"/>
        <v>1136.5104232309875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73</v>
      </c>
      <c r="B19" s="139">
        <f>IF(B16&lt;0,-B16,0)</f>
        <v>253.21643806977042</v>
      </c>
      <c r="C19" s="139">
        <f t="shared" ref="C19:W19" si="5">IF(C16&lt;0,-C16,0)</f>
        <v>551.51432610497955</v>
      </c>
      <c r="D19" s="139">
        <f t="shared" si="5"/>
        <v>455.08517536283654</v>
      </c>
      <c r="E19" s="139">
        <f t="shared" si="5"/>
        <v>368.03241291965685</v>
      </c>
      <c r="F19" s="139">
        <f t="shared" si="5"/>
        <v>288.3813565724364</v>
      </c>
      <c r="G19" s="139">
        <f t="shared" si="5"/>
        <v>151.86153305784262</v>
      </c>
      <c r="H19" s="139">
        <f t="shared" si="5"/>
        <v>82.557606228375931</v>
      </c>
      <c r="I19" s="139">
        <f t="shared" si="5"/>
        <v>77.5148804916644</v>
      </c>
      <c r="J19" s="139">
        <f t="shared" si="5"/>
        <v>70.006814128249886</v>
      </c>
      <c r="K19" s="139">
        <f t="shared" si="5"/>
        <v>63.890464721076754</v>
      </c>
      <c r="L19" s="139">
        <f t="shared" si="5"/>
        <v>55.229719665799287</v>
      </c>
      <c r="M19" s="139">
        <f t="shared" si="5"/>
        <v>47.876024666574189</v>
      </c>
      <c r="N19" s="139">
        <f t="shared" si="5"/>
        <v>37.887260848207639</v>
      </c>
      <c r="O19" s="139">
        <f t="shared" si="5"/>
        <v>29.108445613291682</v>
      </c>
      <c r="P19" s="139">
        <f t="shared" si="5"/>
        <v>17.590580180366853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0</v>
      </c>
      <c r="X19" s="139">
        <f t="shared" ref="X19:AF19" si="6">IF(X16&lt;0,-X16,0)</f>
        <v>0</v>
      </c>
      <c r="Y19" s="139">
        <f t="shared" si="6"/>
        <v>0</v>
      </c>
      <c r="Z19" s="139">
        <f t="shared" si="6"/>
        <v>0</v>
      </c>
      <c r="AA19" s="139">
        <f t="shared" si="6"/>
        <v>0</v>
      </c>
      <c r="AB19" s="139">
        <f t="shared" si="6"/>
        <v>0</v>
      </c>
      <c r="AC19" s="139">
        <f t="shared" si="6"/>
        <v>0</v>
      </c>
      <c r="AD19" s="139">
        <f t="shared" si="6"/>
        <v>0</v>
      </c>
      <c r="AE19" s="139">
        <f t="shared" si="6"/>
        <v>0</v>
      </c>
      <c r="AF19" s="139">
        <f t="shared" si="6"/>
        <v>0</v>
      </c>
    </row>
    <row r="20" spans="1:32">
      <c r="A20" s="13" t="s">
        <v>275</v>
      </c>
      <c r="B20" s="453">
        <v>0</v>
      </c>
      <c r="C20" s="454">
        <v>0</v>
      </c>
      <c r="D20" s="454">
        <v>0</v>
      </c>
      <c r="E20" s="454">
        <v>0</v>
      </c>
      <c r="F20" s="454">
        <v>0</v>
      </c>
      <c r="G20" s="454">
        <v>0</v>
      </c>
      <c r="H20" s="454">
        <v>0</v>
      </c>
      <c r="I20" s="455">
        <v>0</v>
      </c>
      <c r="J20" s="456">
        <f>IF(-SUM(B21:I21, B20:I20)&gt;B19,0,-B19-SUM(B21:I21,B20:I20))</f>
        <v>-253.21643806977042</v>
      </c>
      <c r="K20" s="456">
        <f t="shared" ref="K20:AF20" si="7">IF(-SUM(C21:J21, C20:J20)&gt;C19,0,-C19-SUM(C21:J21,C20:J20))</f>
        <v>-298.2978880352091</v>
      </c>
      <c r="L20" s="456">
        <f t="shared" si="7"/>
        <v>0</v>
      </c>
      <c r="M20" s="456">
        <f t="shared" si="7"/>
        <v>0</v>
      </c>
      <c r="N20" s="456">
        <f t="shared" si="7"/>
        <v>0</v>
      </c>
      <c r="O20" s="456">
        <f t="shared" si="7"/>
        <v>0</v>
      </c>
      <c r="P20" s="456">
        <f t="shared" si="7"/>
        <v>0</v>
      </c>
      <c r="Q20" s="456">
        <f t="shared" si="7"/>
        <v>0</v>
      </c>
      <c r="R20" s="456">
        <f t="shared" si="7"/>
        <v>0</v>
      </c>
      <c r="S20" s="456">
        <f t="shared" si="7"/>
        <v>0</v>
      </c>
      <c r="T20" s="456">
        <f t="shared" si="7"/>
        <v>0</v>
      </c>
      <c r="U20" s="456">
        <f t="shared" si="7"/>
        <v>0</v>
      </c>
      <c r="V20" s="456">
        <f t="shared" si="7"/>
        <v>0</v>
      </c>
      <c r="W20" s="456">
        <f t="shared" si="7"/>
        <v>0</v>
      </c>
      <c r="X20" s="456">
        <f t="shared" si="7"/>
        <v>0</v>
      </c>
      <c r="Y20" s="456">
        <f t="shared" si="7"/>
        <v>0</v>
      </c>
      <c r="Z20" s="456">
        <f t="shared" si="7"/>
        <v>0</v>
      </c>
      <c r="AA20" s="456">
        <f t="shared" si="7"/>
        <v>0</v>
      </c>
      <c r="AB20" s="456">
        <f t="shared" si="7"/>
        <v>0</v>
      </c>
      <c r="AC20" s="456">
        <f t="shared" si="7"/>
        <v>0</v>
      </c>
      <c r="AD20" s="456">
        <f t="shared" si="7"/>
        <v>0</v>
      </c>
      <c r="AE20" s="456">
        <f t="shared" si="7"/>
        <v>0</v>
      </c>
      <c r="AF20" s="456">
        <f t="shared" si="7"/>
        <v>0</v>
      </c>
    </row>
    <row r="21" spans="1:32">
      <c r="A21" s="13" t="s">
        <v>274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-281.07568299776017</v>
      </c>
      <c r="R21" s="132">
        <f t="shared" si="8"/>
        <v>-580.65260629740192</v>
      </c>
      <c r="S21" s="132">
        <f t="shared" si="8"/>
        <v>-593.93300447761953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253.21643806977042</v>
      </c>
      <c r="C22" s="132">
        <f t="shared" si="10"/>
        <v>804.73076417474999</v>
      </c>
      <c r="D22" s="132">
        <f t="shared" si="10"/>
        <v>1259.8159395375865</v>
      </c>
      <c r="E22" s="132">
        <f t="shared" si="10"/>
        <v>1627.8483524572434</v>
      </c>
      <c r="F22" s="132">
        <f t="shared" si="10"/>
        <v>1916.2297090296797</v>
      </c>
      <c r="G22" s="132">
        <f t="shared" si="10"/>
        <v>2068.0912420875225</v>
      </c>
      <c r="H22" s="132">
        <f t="shared" si="10"/>
        <v>2150.6488483158982</v>
      </c>
      <c r="I22" s="132">
        <f t="shared" si="10"/>
        <v>2228.1637288075626</v>
      </c>
      <c r="J22" s="132">
        <f t="shared" si="10"/>
        <v>2044.9541048660421</v>
      </c>
      <c r="K22" s="132">
        <f t="shared" si="10"/>
        <v>1810.5466815519096</v>
      </c>
      <c r="L22" s="132">
        <f t="shared" si="10"/>
        <v>1865.776401217709</v>
      </c>
      <c r="M22" s="132">
        <f t="shared" si="10"/>
        <v>1913.6524258842833</v>
      </c>
      <c r="N22" s="132">
        <f t="shared" si="10"/>
        <v>1951.539686732491</v>
      </c>
      <c r="O22" s="132">
        <f t="shared" si="10"/>
        <v>1980.6481323457826</v>
      </c>
      <c r="P22" s="132">
        <f t="shared" si="10"/>
        <v>1998.2387125261496</v>
      </c>
      <c r="Q22" s="132">
        <f t="shared" si="10"/>
        <v>1717.1630295283894</v>
      </c>
      <c r="R22" s="132">
        <f t="shared" si="10"/>
        <v>1136.5104232309875</v>
      </c>
      <c r="S22" s="132">
        <f t="shared" si="10"/>
        <v>542.57741875336797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0</v>
      </c>
      <c r="X22" s="132">
        <f t="shared" si="10"/>
        <v>0</v>
      </c>
      <c r="Y22" s="132">
        <f t="shared" si="10"/>
        <v>0</v>
      </c>
      <c r="Z22" s="132">
        <f t="shared" si="10"/>
        <v>0</v>
      </c>
      <c r="AA22" s="132">
        <f t="shared" si="10"/>
        <v>0</v>
      </c>
      <c r="AB22" s="132">
        <f t="shared" si="10"/>
        <v>0</v>
      </c>
      <c r="AC22" s="132">
        <f t="shared" si="10"/>
        <v>0</v>
      </c>
      <c r="AD22" s="132">
        <f t="shared" si="10"/>
        <v>0</v>
      </c>
      <c r="AE22" s="132">
        <f t="shared" si="10"/>
        <v>0</v>
      </c>
      <c r="AF22" s="132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200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608.26074690466396</v>
      </c>
      <c r="U24" s="136">
        <f t="shared" si="11"/>
        <v>623.71150200329691</v>
      </c>
      <c r="V24" s="136">
        <f t="shared" si="11"/>
        <v>640.36628207456442</v>
      </c>
      <c r="W24" s="136">
        <f t="shared" si="11"/>
        <v>658.31181830886476</v>
      </c>
      <c r="X24" s="136">
        <f t="shared" si="11"/>
        <v>677.64096206877105</v>
      </c>
      <c r="Y24" s="136">
        <f t="shared" si="11"/>
        <v>698.45311428086018</v>
      </c>
      <c r="Z24" s="136">
        <f t="shared" si="11"/>
        <v>720.85468490456435</v>
      </c>
      <c r="AA24" s="136">
        <f t="shared" si="11"/>
        <v>744.95958458383257</v>
      </c>
      <c r="AB24" s="136">
        <f t="shared" si="11"/>
        <v>770.88975073479196</v>
      </c>
      <c r="AC24" s="136">
        <f t="shared" si="11"/>
        <v>798.77571048034383</v>
      </c>
      <c r="AD24" s="136">
        <f t="shared" si="11"/>
        <v>828.75718301139</v>
      </c>
      <c r="AE24" s="136">
        <f t="shared" si="11"/>
        <v>860.9837241349818</v>
      </c>
      <c r="AF24" s="136">
        <f t="shared" si="11"/>
        <v>167.10538069204151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-3617.3776867110055</v>
      </c>
      <c r="C28" s="19">
        <f t="shared" ref="C28:AF28" si="12">C13</f>
        <v>-7878.7760872139934</v>
      </c>
      <c r="D28" s="19">
        <f t="shared" si="12"/>
        <v>-6501.2167908976644</v>
      </c>
      <c r="E28" s="19">
        <f t="shared" si="12"/>
        <v>-5257.60589885224</v>
      </c>
      <c r="F28" s="19">
        <f t="shared" si="12"/>
        <v>-4119.7336653205193</v>
      </c>
      <c r="G28" s="19">
        <f t="shared" si="12"/>
        <v>-2169.4504722548945</v>
      </c>
      <c r="H28" s="19">
        <f t="shared" si="12"/>
        <v>-1179.3943746910845</v>
      </c>
      <c r="I28" s="19">
        <f t="shared" si="12"/>
        <v>-1107.3554355952056</v>
      </c>
      <c r="J28" s="19">
        <f t="shared" si="12"/>
        <v>-1000.097344689284</v>
      </c>
      <c r="K28" s="19">
        <f t="shared" si="12"/>
        <v>-912.72092458681072</v>
      </c>
      <c r="L28" s="19">
        <f t="shared" si="12"/>
        <v>-788.99599522570406</v>
      </c>
      <c r="M28" s="19">
        <f t="shared" si="12"/>
        <v>-683.94320952248836</v>
      </c>
      <c r="N28" s="19">
        <f t="shared" si="12"/>
        <v>-541.24658354582334</v>
      </c>
      <c r="O28" s="19">
        <f t="shared" si="12"/>
        <v>-415.83493733273826</v>
      </c>
      <c r="P28" s="19">
        <f t="shared" si="12"/>
        <v>-251.2940025766693</v>
      </c>
      <c r="Q28" s="19">
        <f t="shared" si="12"/>
        <v>4015.3668999680021</v>
      </c>
      <c r="R28" s="19">
        <f t="shared" si="12"/>
        <v>8295.0372328200265</v>
      </c>
      <c r="S28" s="19">
        <f t="shared" si="12"/>
        <v>8484.7572068231348</v>
      </c>
      <c r="T28" s="19">
        <f t="shared" si="12"/>
        <v>8689.4392414951981</v>
      </c>
      <c r="U28" s="19">
        <f t="shared" si="12"/>
        <v>8910.1643143328129</v>
      </c>
      <c r="V28" s="19">
        <f t="shared" si="12"/>
        <v>9148.0897439223481</v>
      </c>
      <c r="W28" s="19">
        <f t="shared" si="12"/>
        <v>9404.4545472694954</v>
      </c>
      <c r="X28" s="19">
        <f t="shared" si="12"/>
        <v>9680.5851724110144</v>
      </c>
      <c r="Y28" s="19">
        <f t="shared" si="12"/>
        <v>9977.9016325837165</v>
      </c>
      <c r="Z28" s="19">
        <f t="shared" si="12"/>
        <v>10297.924070065204</v>
      </c>
      <c r="AA28" s="19">
        <f t="shared" si="12"/>
        <v>10642.279779769036</v>
      </c>
      <c r="AB28" s="19">
        <f t="shared" si="12"/>
        <v>11012.710724782741</v>
      </c>
      <c r="AC28" s="19">
        <f t="shared" si="12"/>
        <v>11411.081578290625</v>
      </c>
      <c r="AD28" s="19">
        <f t="shared" si="12"/>
        <v>11839.388328734141</v>
      </c>
      <c r="AE28" s="19">
        <f t="shared" si="12"/>
        <v>12299.767487642595</v>
      </c>
      <c r="AF28" s="19">
        <f t="shared" si="12"/>
        <v>2387.2197241720214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-608.26074690466396</v>
      </c>
      <c r="U29" s="134">
        <f t="shared" si="13"/>
        <v>-623.71150200329691</v>
      </c>
      <c r="V29" s="134">
        <f t="shared" si="13"/>
        <v>-640.36628207456442</v>
      </c>
      <c r="W29" s="134">
        <f t="shared" si="13"/>
        <v>-658.31181830886476</v>
      </c>
      <c r="X29" s="134">
        <f t="shared" si="13"/>
        <v>-677.64096206877105</v>
      </c>
      <c r="Y29" s="134">
        <f t="shared" si="13"/>
        <v>-698.45311428086018</v>
      </c>
      <c r="Z29" s="134">
        <f t="shared" si="13"/>
        <v>-720.85468490456435</v>
      </c>
      <c r="AA29" s="134">
        <f t="shared" si="13"/>
        <v>-744.95958458383257</v>
      </c>
      <c r="AB29" s="134">
        <f t="shared" si="13"/>
        <v>-770.88975073479196</v>
      </c>
      <c r="AC29" s="134">
        <f t="shared" si="13"/>
        <v>-798.77571048034383</v>
      </c>
      <c r="AD29" s="134">
        <f t="shared" si="13"/>
        <v>-828.75718301139</v>
      </c>
      <c r="AE29" s="134">
        <f t="shared" si="13"/>
        <v>-860.9837241349818</v>
      </c>
      <c r="AF29" s="134">
        <f t="shared" si="13"/>
        <v>-167.10538069204151</v>
      </c>
    </row>
    <row r="30" spans="1:32">
      <c r="A30" s="129" t="s">
        <v>199</v>
      </c>
      <c r="B30" s="44">
        <f t="shared" ref="B30:AF30" si="14">SUM(B28:B29)</f>
        <v>-3617.3776867110055</v>
      </c>
      <c r="C30" s="44">
        <f t="shared" si="14"/>
        <v>-7878.7760872139934</v>
      </c>
      <c r="D30" s="44">
        <f t="shared" si="14"/>
        <v>-6501.2167908976644</v>
      </c>
      <c r="E30" s="44">
        <f t="shared" si="14"/>
        <v>-5257.60589885224</v>
      </c>
      <c r="F30" s="44">
        <f t="shared" si="14"/>
        <v>-4119.7336653205193</v>
      </c>
      <c r="G30" s="44">
        <f t="shared" si="14"/>
        <v>-2169.4504722548945</v>
      </c>
      <c r="H30" s="44">
        <f t="shared" si="14"/>
        <v>-1179.3943746910845</v>
      </c>
      <c r="I30" s="44">
        <f t="shared" si="14"/>
        <v>-1107.3554355952056</v>
      </c>
      <c r="J30" s="44">
        <f t="shared" si="14"/>
        <v>-1000.097344689284</v>
      </c>
      <c r="K30" s="44">
        <f t="shared" si="14"/>
        <v>-912.72092458681072</v>
      </c>
      <c r="L30" s="44">
        <f t="shared" si="14"/>
        <v>-788.99599522570406</v>
      </c>
      <c r="M30" s="44">
        <f t="shared" si="14"/>
        <v>-683.94320952248836</v>
      </c>
      <c r="N30" s="44">
        <f t="shared" si="14"/>
        <v>-541.24658354582334</v>
      </c>
      <c r="O30" s="44">
        <f t="shared" si="14"/>
        <v>-415.83493733273826</v>
      </c>
      <c r="P30" s="44">
        <f t="shared" si="14"/>
        <v>-251.2940025766693</v>
      </c>
      <c r="Q30" s="44">
        <f t="shared" si="14"/>
        <v>4015.3668999680021</v>
      </c>
      <c r="R30" s="44">
        <f t="shared" si="14"/>
        <v>8295.0372328200265</v>
      </c>
      <c r="S30" s="44">
        <f t="shared" si="14"/>
        <v>8484.7572068231348</v>
      </c>
      <c r="T30" s="44">
        <f t="shared" si="14"/>
        <v>8081.1784945905338</v>
      </c>
      <c r="U30" s="44">
        <f t="shared" si="14"/>
        <v>8286.4528123295167</v>
      </c>
      <c r="V30" s="44">
        <f t="shared" si="14"/>
        <v>8507.7234618477833</v>
      </c>
      <c r="W30" s="44">
        <f t="shared" si="14"/>
        <v>8746.1427289606308</v>
      </c>
      <c r="X30" s="44">
        <f t="shared" si="14"/>
        <v>9002.9442103422425</v>
      </c>
      <c r="Y30" s="44">
        <f t="shared" si="14"/>
        <v>9279.4485183028555</v>
      </c>
      <c r="Z30" s="44">
        <f t="shared" si="14"/>
        <v>9577.0693851606393</v>
      </c>
      <c r="AA30" s="44">
        <f t="shared" si="14"/>
        <v>9897.3201951852043</v>
      </c>
      <c r="AB30" s="44">
        <f t="shared" si="14"/>
        <v>10241.820974047949</v>
      </c>
      <c r="AC30" s="44">
        <f t="shared" si="14"/>
        <v>10612.305867810281</v>
      </c>
      <c r="AD30" s="44">
        <f t="shared" si="14"/>
        <v>11010.631145722751</v>
      </c>
      <c r="AE30" s="44">
        <f t="shared" si="14"/>
        <v>11438.783763507614</v>
      </c>
      <c r="AF30" s="44">
        <f t="shared" si="14"/>
        <v>2220.1143434799801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-1266.0821903488518</v>
      </c>
      <c r="C33" s="19">
        <f t="shared" ref="C33:W33" si="15">C30*C32</f>
        <v>-2757.5716305248975</v>
      </c>
      <c r="D33" s="19">
        <f t="shared" si="15"/>
        <v>-2275.4258768141822</v>
      </c>
      <c r="E33" s="19">
        <f t="shared" si="15"/>
        <v>-1840.1620645982839</v>
      </c>
      <c r="F33" s="19">
        <f t="shared" si="15"/>
        <v>-1441.9067828621817</v>
      </c>
      <c r="G33" s="19">
        <f t="shared" si="15"/>
        <v>-759.30766528921299</v>
      </c>
      <c r="H33" s="19">
        <f t="shared" si="15"/>
        <v>-412.78803114187957</v>
      </c>
      <c r="I33" s="19">
        <f t="shared" si="15"/>
        <v>-387.57440245832191</v>
      </c>
      <c r="J33" s="19">
        <f t="shared" si="15"/>
        <v>-350.0340706412494</v>
      </c>
      <c r="K33" s="19">
        <f t="shared" si="15"/>
        <v>-319.45232360538375</v>
      </c>
      <c r="L33" s="19">
        <f t="shared" si="15"/>
        <v>-276.1485983289964</v>
      </c>
      <c r="M33" s="19">
        <f t="shared" si="15"/>
        <v>-239.38012333287091</v>
      </c>
      <c r="N33" s="19">
        <f t="shared" si="15"/>
        <v>-189.43630424103816</v>
      </c>
      <c r="O33" s="19">
        <f t="shared" si="15"/>
        <v>-145.54222806645839</v>
      </c>
      <c r="P33" s="19">
        <f t="shared" si="15"/>
        <v>-87.952900901834255</v>
      </c>
      <c r="Q33" s="19">
        <f t="shared" si="15"/>
        <v>1405.3784149888006</v>
      </c>
      <c r="R33" s="19">
        <f t="shared" si="15"/>
        <v>2903.2630314870089</v>
      </c>
      <c r="S33" s="19">
        <f t="shared" si="15"/>
        <v>2969.665022388097</v>
      </c>
      <c r="T33" s="19">
        <f t="shared" si="15"/>
        <v>2828.4124731066868</v>
      </c>
      <c r="U33" s="19">
        <f t="shared" si="15"/>
        <v>2900.2584843153309</v>
      </c>
      <c r="V33" s="19">
        <f t="shared" si="15"/>
        <v>2977.703211646724</v>
      </c>
      <c r="W33" s="19">
        <f t="shared" si="15"/>
        <v>3061.1499551362208</v>
      </c>
      <c r="X33" s="19">
        <f t="shared" ref="X33:AF33" si="16">X30*X32</f>
        <v>3151.0304736197845</v>
      </c>
      <c r="Y33" s="19">
        <f t="shared" si="16"/>
        <v>3247.8069814059991</v>
      </c>
      <c r="Z33" s="19">
        <f t="shared" si="16"/>
        <v>3351.9742848062237</v>
      </c>
      <c r="AA33" s="19">
        <f t="shared" si="16"/>
        <v>3464.0620683148213</v>
      </c>
      <c r="AB33" s="19">
        <f t="shared" si="16"/>
        <v>3584.6373409167818</v>
      </c>
      <c r="AC33" s="19">
        <f t="shared" si="16"/>
        <v>3714.307053733598</v>
      </c>
      <c r="AD33" s="19">
        <f t="shared" si="16"/>
        <v>3853.7209010029628</v>
      </c>
      <c r="AE33" s="19">
        <f t="shared" si="16"/>
        <v>4003.5743172276648</v>
      </c>
      <c r="AF33" s="19">
        <f t="shared" si="16"/>
        <v>777.04002021799295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1266.0821903488518</v>
      </c>
      <c r="D35" s="19">
        <f t="shared" si="17"/>
        <v>4023.6538208737493</v>
      </c>
      <c r="E35" s="19">
        <f t="shared" si="17"/>
        <v>6299.0796976879319</v>
      </c>
      <c r="F35" s="19">
        <f t="shared" si="17"/>
        <v>8139.2417622862158</v>
      </c>
      <c r="G35" s="19">
        <f t="shared" si="17"/>
        <v>9581.1485451483968</v>
      </c>
      <c r="H35" s="19">
        <f t="shared" si="17"/>
        <v>10340.456210437609</v>
      </c>
      <c r="I35" s="19">
        <f t="shared" si="17"/>
        <v>10753.244241579489</v>
      </c>
      <c r="J35" s="19">
        <f t="shared" si="17"/>
        <v>11140.81864403781</v>
      </c>
      <c r="K35" s="19">
        <f t="shared" si="17"/>
        <v>11490.85271467906</v>
      </c>
      <c r="L35" s="19">
        <f t="shared" si="17"/>
        <v>11810.305038284445</v>
      </c>
      <c r="M35" s="19">
        <f t="shared" si="17"/>
        <v>12086.453636613442</v>
      </c>
      <c r="N35" s="19">
        <f t="shared" si="17"/>
        <v>12325.833759946312</v>
      </c>
      <c r="O35" s="19">
        <f t="shared" si="17"/>
        <v>12515.270064187351</v>
      </c>
      <c r="P35" s="19">
        <f t="shared" si="17"/>
        <v>12660.81229225381</v>
      </c>
      <c r="Q35" s="19">
        <f t="shared" si="17"/>
        <v>12748.765193155643</v>
      </c>
      <c r="R35" s="19">
        <f t="shared" si="17"/>
        <v>10077.304587817991</v>
      </c>
      <c r="S35" s="19">
        <f t="shared" si="17"/>
        <v>7087.9305311437365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73</v>
      </c>
      <c r="B36" s="139">
        <f>IF(B33&lt;0,-B33,0)</f>
        <v>1266.0821903488518</v>
      </c>
      <c r="C36" s="139">
        <f t="shared" ref="C36:AF36" si="19">IF(C33&lt;0,-C33,0)</f>
        <v>2757.5716305248975</v>
      </c>
      <c r="D36" s="139">
        <f t="shared" si="19"/>
        <v>2275.4258768141822</v>
      </c>
      <c r="E36" s="139">
        <f t="shared" si="19"/>
        <v>1840.1620645982839</v>
      </c>
      <c r="F36" s="139">
        <f t="shared" si="19"/>
        <v>1441.9067828621817</v>
      </c>
      <c r="G36" s="139">
        <f t="shared" si="19"/>
        <v>759.30766528921299</v>
      </c>
      <c r="H36" s="139">
        <f t="shared" si="19"/>
        <v>412.78803114187957</v>
      </c>
      <c r="I36" s="139">
        <f t="shared" si="19"/>
        <v>387.57440245832191</v>
      </c>
      <c r="J36" s="139">
        <f t="shared" si="19"/>
        <v>350.0340706412494</v>
      </c>
      <c r="K36" s="139">
        <f t="shared" si="19"/>
        <v>319.45232360538375</v>
      </c>
      <c r="L36" s="139">
        <f t="shared" si="19"/>
        <v>276.1485983289964</v>
      </c>
      <c r="M36" s="139">
        <f t="shared" si="19"/>
        <v>239.38012333287091</v>
      </c>
      <c r="N36" s="139">
        <f t="shared" si="19"/>
        <v>189.43630424103816</v>
      </c>
      <c r="O36" s="139">
        <f t="shared" si="19"/>
        <v>145.54222806645839</v>
      </c>
      <c r="P36" s="139">
        <f t="shared" si="19"/>
        <v>87.952900901834255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0</v>
      </c>
      <c r="X36" s="139">
        <f t="shared" si="19"/>
        <v>0</v>
      </c>
      <c r="Y36" s="139">
        <f t="shared" si="19"/>
        <v>0</v>
      </c>
      <c r="Z36" s="139">
        <f t="shared" si="19"/>
        <v>0</v>
      </c>
      <c r="AA36" s="139">
        <f t="shared" si="19"/>
        <v>0</v>
      </c>
      <c r="AB36" s="139">
        <f t="shared" si="19"/>
        <v>0</v>
      </c>
      <c r="AC36" s="139">
        <f t="shared" si="19"/>
        <v>0</v>
      </c>
      <c r="AD36" s="139">
        <f t="shared" si="19"/>
        <v>0</v>
      </c>
      <c r="AE36" s="139">
        <f t="shared" si="19"/>
        <v>0</v>
      </c>
      <c r="AF36" s="139">
        <f t="shared" si="19"/>
        <v>0</v>
      </c>
    </row>
    <row r="37" spans="1:32">
      <c r="A37" s="13" t="s">
        <v>275</v>
      </c>
      <c r="B37" s="453">
        <v>0</v>
      </c>
      <c r="C37" s="454">
        <v>0</v>
      </c>
      <c r="D37" s="454">
        <v>0</v>
      </c>
      <c r="E37" s="454">
        <v>0</v>
      </c>
      <c r="F37" s="454">
        <v>0</v>
      </c>
      <c r="G37" s="454">
        <v>0</v>
      </c>
      <c r="H37" s="454">
        <v>0</v>
      </c>
      <c r="I37" s="454">
        <v>0</v>
      </c>
      <c r="J37" s="454">
        <v>0</v>
      </c>
      <c r="K37" s="454">
        <v>0</v>
      </c>
      <c r="L37" s="454">
        <v>0</v>
      </c>
      <c r="M37" s="454">
        <v>0</v>
      </c>
      <c r="N37" s="454">
        <v>0</v>
      </c>
      <c r="O37" s="454">
        <v>0</v>
      </c>
      <c r="P37" s="455">
        <v>0</v>
      </c>
      <c r="Q37" s="456">
        <f>IF(-SUM(B38:P38, B37:P37)&gt;B36,0,-B36-SUM(B38:P38,B37:P37))</f>
        <v>-1266.0821903488518</v>
      </c>
      <c r="R37" s="456">
        <f t="shared" ref="R37:AF37" si="20">IF(-SUM(C38:Q38, C37:Q37)&gt;C36,0,-C36-SUM(C38:Q38,C37:Q37))</f>
        <v>-86.111025187245104</v>
      </c>
      <c r="S37" s="456">
        <f t="shared" si="20"/>
        <v>0</v>
      </c>
      <c r="T37" s="456">
        <f t="shared" si="20"/>
        <v>0</v>
      </c>
      <c r="U37" s="456">
        <f t="shared" si="20"/>
        <v>0</v>
      </c>
      <c r="V37" s="456">
        <f t="shared" si="20"/>
        <v>0</v>
      </c>
      <c r="W37" s="456">
        <f t="shared" si="20"/>
        <v>0</v>
      </c>
      <c r="X37" s="456">
        <f t="shared" si="20"/>
        <v>0</v>
      </c>
      <c r="Y37" s="456">
        <f t="shared" si="20"/>
        <v>0</v>
      </c>
      <c r="Z37" s="456">
        <f t="shared" si="20"/>
        <v>0</v>
      </c>
      <c r="AA37" s="456">
        <f t="shared" si="20"/>
        <v>0</v>
      </c>
      <c r="AB37" s="456">
        <f t="shared" si="20"/>
        <v>0</v>
      </c>
      <c r="AC37" s="456">
        <f t="shared" si="20"/>
        <v>0</v>
      </c>
      <c r="AD37" s="456">
        <f t="shared" si="20"/>
        <v>0</v>
      </c>
      <c r="AE37" s="456">
        <f t="shared" si="20"/>
        <v>0</v>
      </c>
      <c r="AF37" s="456">
        <f t="shared" si="20"/>
        <v>0</v>
      </c>
    </row>
    <row r="38" spans="1:32">
      <c r="A38" s="13" t="s">
        <v>276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-1405.3784149888006</v>
      </c>
      <c r="R38" s="132">
        <f t="shared" si="21"/>
        <v>-2903.2630314870089</v>
      </c>
      <c r="S38" s="132">
        <f t="shared" si="21"/>
        <v>-2969.665022388097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1266.0821903488518</v>
      </c>
      <c r="C39" s="132">
        <f t="shared" si="23"/>
        <v>4023.6538208737493</v>
      </c>
      <c r="D39" s="132">
        <f t="shared" si="23"/>
        <v>6299.0796976879319</v>
      </c>
      <c r="E39" s="132">
        <f t="shared" si="23"/>
        <v>8139.2417622862158</v>
      </c>
      <c r="F39" s="132">
        <f t="shared" si="23"/>
        <v>9581.1485451483968</v>
      </c>
      <c r="G39" s="132">
        <f t="shared" si="23"/>
        <v>10340.456210437609</v>
      </c>
      <c r="H39" s="132">
        <f t="shared" si="23"/>
        <v>10753.244241579489</v>
      </c>
      <c r="I39" s="132">
        <f t="shared" si="23"/>
        <v>11140.81864403781</v>
      </c>
      <c r="J39" s="132">
        <f t="shared" si="23"/>
        <v>11490.85271467906</v>
      </c>
      <c r="K39" s="132">
        <f t="shared" si="23"/>
        <v>11810.305038284445</v>
      </c>
      <c r="L39" s="132">
        <f t="shared" si="23"/>
        <v>12086.453636613442</v>
      </c>
      <c r="M39" s="132">
        <f t="shared" si="23"/>
        <v>12325.833759946312</v>
      </c>
      <c r="N39" s="132">
        <f t="shared" si="23"/>
        <v>12515.270064187351</v>
      </c>
      <c r="O39" s="132">
        <f t="shared" si="23"/>
        <v>12660.81229225381</v>
      </c>
      <c r="P39" s="132">
        <f t="shared" si="23"/>
        <v>12748.765193155643</v>
      </c>
      <c r="Q39" s="132">
        <f t="shared" si="23"/>
        <v>10077.304587817991</v>
      </c>
      <c r="R39" s="132">
        <f t="shared" si="23"/>
        <v>7087.9305311437365</v>
      </c>
      <c r="S39" s="132">
        <f t="shared" si="23"/>
        <v>4118.2655087556395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0</v>
      </c>
      <c r="X39" s="132">
        <f t="shared" si="23"/>
        <v>0</v>
      </c>
      <c r="Y39" s="132">
        <f t="shared" si="23"/>
        <v>0</v>
      </c>
      <c r="Z39" s="132">
        <f t="shared" si="23"/>
        <v>0</v>
      </c>
      <c r="AA39" s="132">
        <f t="shared" si="23"/>
        <v>0</v>
      </c>
      <c r="AB39" s="132">
        <f t="shared" si="23"/>
        <v>0</v>
      </c>
      <c r="AC39" s="132">
        <f t="shared" si="23"/>
        <v>0</v>
      </c>
      <c r="AD39" s="132">
        <f t="shared" si="23"/>
        <v>0</v>
      </c>
      <c r="AE39" s="132">
        <f t="shared" si="23"/>
        <v>0</v>
      </c>
      <c r="AF39" s="132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200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2828.4124731066868</v>
      </c>
      <c r="U41" s="136">
        <f t="shared" si="24"/>
        <v>2900.2584843153309</v>
      </c>
      <c r="V41" s="136">
        <f t="shared" si="24"/>
        <v>2977.703211646724</v>
      </c>
      <c r="W41" s="136">
        <f t="shared" si="24"/>
        <v>3061.1499551362208</v>
      </c>
      <c r="X41" s="136">
        <f t="shared" si="24"/>
        <v>3151.0304736197845</v>
      </c>
      <c r="Y41" s="136">
        <f t="shared" si="24"/>
        <v>3247.8069814059991</v>
      </c>
      <c r="Z41" s="136">
        <f t="shared" si="24"/>
        <v>3351.9742848062237</v>
      </c>
      <c r="AA41" s="136">
        <f t="shared" si="24"/>
        <v>3464.0620683148213</v>
      </c>
      <c r="AB41" s="136">
        <f t="shared" si="24"/>
        <v>3584.6373409167818</v>
      </c>
      <c r="AC41" s="136">
        <f t="shared" si="24"/>
        <v>3714.307053733598</v>
      </c>
      <c r="AD41" s="136">
        <f t="shared" si="24"/>
        <v>3853.7209010029628</v>
      </c>
      <c r="AE41" s="136">
        <f t="shared" si="24"/>
        <v>4003.5743172276648</v>
      </c>
      <c r="AF41" s="136">
        <f t="shared" si="24"/>
        <v>777.04002021799295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D56" sqref="D5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New Orleans, Louisiana</v>
      </c>
    </row>
    <row r="4" spans="1:25" ht="18.75">
      <c r="A4" s="61" t="s">
        <v>179</v>
      </c>
      <c r="B4" s="213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336</v>
      </c>
      <c r="B6" s="229"/>
      <c r="C6" s="431">
        <f>Assumptions!C26</f>
        <v>6927.7870000000003</v>
      </c>
      <c r="D6" s="230"/>
      <c r="E6" s="230"/>
      <c r="F6" s="230"/>
      <c r="G6" s="230"/>
      <c r="H6" s="230"/>
      <c r="I6" s="231"/>
      <c r="J6" s="230"/>
      <c r="K6" s="230"/>
      <c r="L6" s="230"/>
      <c r="M6" s="230"/>
      <c r="N6" s="230"/>
      <c r="O6" s="231"/>
      <c r="P6" s="230"/>
      <c r="Q6" s="230"/>
      <c r="R6" s="230"/>
      <c r="S6" s="230"/>
      <c r="T6" s="230"/>
      <c r="U6" s="231"/>
      <c r="V6" s="230"/>
      <c r="W6" s="230"/>
      <c r="X6" s="233"/>
      <c r="Y6" s="233"/>
    </row>
    <row r="7" spans="1:25">
      <c r="A7" s="63" t="s">
        <v>186</v>
      </c>
      <c r="B7" s="229"/>
      <c r="C7" s="440">
        <f>Assumptions!H16</f>
        <v>7</v>
      </c>
      <c r="D7" s="230"/>
      <c r="E7" s="230"/>
      <c r="F7" s="230"/>
      <c r="G7" s="230"/>
      <c r="H7" s="230"/>
      <c r="I7" s="231"/>
      <c r="J7" s="230"/>
      <c r="K7" s="230"/>
      <c r="L7" s="230"/>
      <c r="M7" s="230"/>
      <c r="N7" s="230"/>
      <c r="O7" s="231"/>
      <c r="P7" s="230"/>
      <c r="Q7" s="230"/>
      <c r="R7" s="230"/>
      <c r="S7" s="230"/>
      <c r="T7" s="230"/>
      <c r="U7" s="231"/>
      <c r="V7" s="230"/>
      <c r="W7" s="230"/>
      <c r="X7" s="233"/>
      <c r="Y7" s="233"/>
    </row>
    <row r="8" spans="1:25">
      <c r="A8" s="63" t="s">
        <v>184</v>
      </c>
      <c r="B8" s="229"/>
      <c r="C8" s="512">
        <f>Assumptions!H39</f>
        <v>6.9999999999999993E-2</v>
      </c>
      <c r="D8" s="238">
        <f>C8/360</f>
        <v>1.9444444444444443E-4</v>
      </c>
      <c r="E8" s="230"/>
      <c r="F8" s="230"/>
      <c r="G8" s="230"/>
      <c r="H8" s="230"/>
      <c r="I8" s="231"/>
      <c r="J8" s="230"/>
      <c r="K8" s="230"/>
      <c r="L8" s="230"/>
      <c r="M8" s="230"/>
      <c r="N8" s="230"/>
      <c r="O8" s="231"/>
      <c r="P8" s="230"/>
      <c r="Q8" s="230"/>
      <c r="R8" s="230"/>
      <c r="S8" s="230"/>
      <c r="T8" s="230"/>
      <c r="U8" s="231"/>
      <c r="V8" s="230"/>
      <c r="W8" s="230"/>
      <c r="X8" s="233"/>
      <c r="Y8" s="233"/>
    </row>
    <row r="9" spans="1:25">
      <c r="A9" s="63"/>
      <c r="B9" s="229"/>
      <c r="C9" s="237" t="s">
        <v>185</v>
      </c>
      <c r="D9" s="237" t="s">
        <v>218</v>
      </c>
      <c r="E9" s="230"/>
      <c r="F9" s="230"/>
      <c r="G9" s="230"/>
      <c r="H9" s="230"/>
      <c r="I9" s="231"/>
      <c r="J9" s="230"/>
      <c r="K9" s="230"/>
      <c r="L9" s="230"/>
      <c r="M9" s="230"/>
      <c r="N9" s="230"/>
      <c r="O9" s="231"/>
      <c r="P9" s="230"/>
      <c r="Q9" s="230"/>
      <c r="R9" s="230"/>
      <c r="S9" s="230"/>
      <c r="T9" s="230"/>
      <c r="U9" s="231"/>
      <c r="V9" s="230"/>
      <c r="W9" s="230"/>
      <c r="X9" s="233"/>
      <c r="Y9" s="233"/>
    </row>
    <row r="10" spans="1:25">
      <c r="A10" s="63"/>
      <c r="B10" s="229"/>
      <c r="C10" s="237"/>
      <c r="D10" s="237"/>
      <c r="E10" s="230"/>
      <c r="F10" s="230"/>
      <c r="G10" s="230"/>
      <c r="H10" s="230"/>
      <c r="I10" s="231"/>
      <c r="J10" s="230"/>
      <c r="K10" s="230"/>
      <c r="L10" s="230"/>
      <c r="M10" s="230"/>
      <c r="N10" s="230"/>
      <c r="O10" s="231"/>
      <c r="P10" s="230"/>
      <c r="Q10" s="230"/>
      <c r="R10" s="230"/>
      <c r="S10" s="230"/>
      <c r="T10" s="230"/>
      <c r="U10" s="231"/>
      <c r="V10" s="230"/>
      <c r="W10" s="230"/>
      <c r="X10" s="233"/>
      <c r="Y10" s="233"/>
    </row>
    <row r="11" spans="1:25">
      <c r="A11" s="63"/>
      <c r="B11" s="229"/>
      <c r="C11" s="237"/>
      <c r="D11" s="237"/>
      <c r="E11" s="230"/>
      <c r="F11" s="230"/>
      <c r="G11" s="230"/>
      <c r="H11" s="230"/>
      <c r="I11" s="231"/>
      <c r="J11" s="230"/>
      <c r="K11" s="230"/>
      <c r="L11" s="230"/>
      <c r="M11" s="230"/>
      <c r="N11" s="230"/>
      <c r="O11" s="231"/>
      <c r="P11" s="230"/>
      <c r="Q11" s="230"/>
      <c r="R11" s="230"/>
      <c r="S11" s="230"/>
      <c r="T11" s="230"/>
      <c r="U11" s="231"/>
      <c r="V11" s="230"/>
      <c r="W11" s="230"/>
      <c r="X11" s="233"/>
      <c r="Y11" s="233"/>
    </row>
    <row r="12" spans="1:25">
      <c r="A12" s="5"/>
      <c r="B12" s="226"/>
      <c r="C12" s="226"/>
      <c r="D12" s="227" t="s">
        <v>173</v>
      </c>
      <c r="E12" s="225" t="s">
        <v>180</v>
      </c>
      <c r="F12" s="226"/>
      <c r="G12" s="226"/>
      <c r="H12" s="226"/>
      <c r="I12" s="226"/>
      <c r="J12" s="221"/>
    </row>
    <row r="13" spans="1:25">
      <c r="A13" s="225" t="s">
        <v>170</v>
      </c>
      <c r="B13" s="5"/>
      <c r="C13" s="5"/>
      <c r="D13" s="227" t="s">
        <v>181</v>
      </c>
      <c r="E13" s="227" t="s">
        <v>174</v>
      </c>
      <c r="F13" s="227" t="s">
        <v>175</v>
      </c>
      <c r="G13" s="232" t="s">
        <v>176</v>
      </c>
      <c r="H13" s="227" t="s">
        <v>177</v>
      </c>
      <c r="I13" s="227" t="s">
        <v>178</v>
      </c>
      <c r="J13" s="66"/>
    </row>
    <row r="14" spans="1:25">
      <c r="A14" s="222" t="s">
        <v>171</v>
      </c>
      <c r="B14" s="222" t="s">
        <v>127</v>
      </c>
      <c r="C14" s="222" t="s">
        <v>172</v>
      </c>
      <c r="D14" s="222" t="s">
        <v>183</v>
      </c>
      <c r="E14" s="222" t="s">
        <v>183</v>
      </c>
      <c r="F14" s="222" t="s">
        <v>183</v>
      </c>
      <c r="G14" s="222" t="s">
        <v>183</v>
      </c>
      <c r="H14" s="222" t="s">
        <v>183</v>
      </c>
      <c r="I14" s="222" t="s">
        <v>183</v>
      </c>
      <c r="J14" s="66"/>
    </row>
    <row r="15" spans="1:25">
      <c r="A15" s="223">
        <v>1</v>
      </c>
      <c r="B15" s="224">
        <v>36617</v>
      </c>
      <c r="C15" s="261">
        <f>HLOOKUP(Assumptions!$H$12,IDC!$H$40:$L$56,2+F42)</f>
        <v>0.17</v>
      </c>
      <c r="D15" s="234">
        <f>D59*Assumptions!H12</f>
        <v>85562.69764399025</v>
      </c>
      <c r="E15" s="235">
        <f t="shared" ref="E15:E33" si="0">C15*$C$6</f>
        <v>1177.7237900000002</v>
      </c>
      <c r="F15" s="235">
        <f t="shared" ref="F15:F33" si="1">+E15+D15</f>
        <v>86740.421433990254</v>
      </c>
      <c r="G15" s="235">
        <f>F15+H15</f>
        <v>86740.421433990254</v>
      </c>
      <c r="H15" s="235">
        <v>0</v>
      </c>
      <c r="I15" s="235">
        <v>0</v>
      </c>
      <c r="K15" s="429"/>
    </row>
    <row r="16" spans="1:25">
      <c r="A16" s="223">
        <f t="shared" ref="A16:A33" si="2">A15+1</f>
        <v>2</v>
      </c>
      <c r="B16" s="224">
        <v>36647</v>
      </c>
      <c r="C16" s="261">
        <f>HLOOKUP(Assumptions!$H$12,IDC!$H$40:$L$56,2+F43)</f>
        <v>0.12</v>
      </c>
      <c r="D16" s="234">
        <v>0</v>
      </c>
      <c r="E16" s="235">
        <f t="shared" si="0"/>
        <v>831.33443999999997</v>
      </c>
      <c r="F16" s="235">
        <f t="shared" si="1"/>
        <v>831.33443999999997</v>
      </c>
      <c r="G16" s="235">
        <f t="shared" ref="G16:G33" si="3">F16+G15+H16</f>
        <v>88077.741665688533</v>
      </c>
      <c r="H16" s="235">
        <f>IF(A16&gt;$C$7+1,0,G15*(B16-B15)*$D$8)</f>
        <v>505.98579169827639</v>
      </c>
      <c r="I16" s="235">
        <f>IF(A16&lt;=$C$7+1,H16+I15,I15)</f>
        <v>505.98579169827639</v>
      </c>
      <c r="K16" s="429"/>
    </row>
    <row r="17" spans="1:11">
      <c r="A17" s="223">
        <f t="shared" si="2"/>
        <v>3</v>
      </c>
      <c r="B17" s="224">
        <v>36678</v>
      </c>
      <c r="C17" s="261">
        <f>HLOOKUP(Assumptions!$H$12,IDC!$H$40:$L$56,2+F44)</f>
        <v>0.12</v>
      </c>
      <c r="D17" s="234">
        <v>0</v>
      </c>
      <c r="E17" s="235">
        <f t="shared" si="0"/>
        <v>831.33443999999997</v>
      </c>
      <c r="F17" s="235">
        <f t="shared" si="1"/>
        <v>831.33443999999997</v>
      </c>
      <c r="G17" s="235">
        <f t="shared" si="3"/>
        <v>89439.989159617835</v>
      </c>
      <c r="H17" s="235">
        <f t="shared" ref="H17:H33" si="4">IF(A17&gt;$C$7+1,0,G16*(B17-B16)*$D$8)</f>
        <v>530.91305392928916</v>
      </c>
      <c r="I17" s="235">
        <f t="shared" ref="I17:I33" si="5">IF(A17&lt;=$C$7+1,H17+I16,I16)</f>
        <v>1036.8988456275656</v>
      </c>
      <c r="K17" s="429"/>
    </row>
    <row r="18" spans="1:11">
      <c r="A18" s="223">
        <f t="shared" si="2"/>
        <v>4</v>
      </c>
      <c r="B18" s="224">
        <v>36708</v>
      </c>
      <c r="C18" s="261">
        <f>HLOOKUP(Assumptions!$H$12,IDC!$H$40:$L$56,2+F45)</f>
        <v>0.14000000000000001</v>
      </c>
      <c r="D18" s="234">
        <v>0</v>
      </c>
      <c r="E18" s="235">
        <f t="shared" si="0"/>
        <v>969.8901800000001</v>
      </c>
      <c r="F18" s="235">
        <f t="shared" si="1"/>
        <v>969.8901800000001</v>
      </c>
      <c r="G18" s="235">
        <f t="shared" si="3"/>
        <v>90931.612609715608</v>
      </c>
      <c r="H18" s="235">
        <f t="shared" si="4"/>
        <v>521.73327009777074</v>
      </c>
      <c r="I18" s="235">
        <f t="shared" si="5"/>
        <v>1558.6321157253365</v>
      </c>
      <c r="K18" s="429"/>
    </row>
    <row r="19" spans="1:11">
      <c r="A19" s="223">
        <f t="shared" si="2"/>
        <v>5</v>
      </c>
      <c r="B19" s="224">
        <v>36739</v>
      </c>
      <c r="C19" s="261">
        <f>HLOOKUP(Assumptions!$H$12,IDC!$H$40:$L$56,2+F46)</f>
        <v>0.13</v>
      </c>
      <c r="D19" s="234">
        <v>0</v>
      </c>
      <c r="E19" s="235">
        <f t="shared" si="0"/>
        <v>900.61231000000009</v>
      </c>
      <c r="F19" s="235">
        <f t="shared" si="1"/>
        <v>900.61231000000009</v>
      </c>
      <c r="G19" s="235">
        <f t="shared" si="3"/>
        <v>92380.340473501943</v>
      </c>
      <c r="H19" s="235">
        <f t="shared" si="4"/>
        <v>548.11555378634125</v>
      </c>
      <c r="I19" s="235">
        <f t="shared" si="5"/>
        <v>2106.7476695116775</v>
      </c>
      <c r="K19" s="429"/>
    </row>
    <row r="20" spans="1:11">
      <c r="A20" s="223">
        <f t="shared" si="2"/>
        <v>6</v>
      </c>
      <c r="B20" s="224">
        <v>36770</v>
      </c>
      <c r="C20" s="261">
        <f>HLOOKUP(Assumptions!$H$12,IDC!$H$40:$L$56,2+F47)</f>
        <v>0.12</v>
      </c>
      <c r="D20" s="234">
        <v>0</v>
      </c>
      <c r="E20" s="235">
        <f t="shared" si="0"/>
        <v>831.33443999999997</v>
      </c>
      <c r="F20" s="235">
        <f t="shared" si="1"/>
        <v>831.33443999999997</v>
      </c>
      <c r="G20" s="235">
        <f t="shared" si="3"/>
        <v>93768.523076911675</v>
      </c>
      <c r="H20" s="235">
        <f t="shared" si="4"/>
        <v>556.84816340971997</v>
      </c>
      <c r="I20" s="235">
        <f t="shared" si="5"/>
        <v>2663.5958329213972</v>
      </c>
      <c r="K20" s="429"/>
    </row>
    <row r="21" spans="1:11">
      <c r="A21" s="223">
        <f t="shared" si="2"/>
        <v>7</v>
      </c>
      <c r="B21" s="224">
        <v>36800</v>
      </c>
      <c r="C21" s="261">
        <f>HLOOKUP(Assumptions!$H$12,IDC!$H$40:$L$56,2+F48)</f>
        <v>0.1</v>
      </c>
      <c r="D21" s="234">
        <v>0</v>
      </c>
      <c r="E21" s="235">
        <f t="shared" si="0"/>
        <v>692.77870000000007</v>
      </c>
      <c r="F21" s="235">
        <f t="shared" si="1"/>
        <v>692.77870000000007</v>
      </c>
      <c r="G21" s="235">
        <f t="shared" si="3"/>
        <v>95008.28482819366</v>
      </c>
      <c r="H21" s="235">
        <f t="shared" si="4"/>
        <v>546.98305128198479</v>
      </c>
      <c r="I21" s="235">
        <f t="shared" si="5"/>
        <v>3210.5788842033821</v>
      </c>
      <c r="K21" s="429"/>
    </row>
    <row r="22" spans="1:11">
      <c r="A22" s="223">
        <f t="shared" si="2"/>
        <v>8</v>
      </c>
      <c r="B22" s="224">
        <v>36831</v>
      </c>
      <c r="C22" s="261">
        <f>HLOOKUP(Assumptions!$H$12,IDC!$H$40:$L$56,2+F49)</f>
        <v>0.1</v>
      </c>
      <c r="D22" s="234">
        <v>0</v>
      </c>
      <c r="E22" s="235">
        <f t="shared" si="0"/>
        <v>692.77870000000007</v>
      </c>
      <c r="F22" s="235">
        <f t="shared" si="1"/>
        <v>692.77870000000007</v>
      </c>
      <c r="G22" s="235">
        <f t="shared" si="3"/>
        <v>96273.752356185825</v>
      </c>
      <c r="H22" s="235">
        <f t="shared" si="4"/>
        <v>572.68882799216738</v>
      </c>
      <c r="I22" s="235">
        <f t="shared" si="5"/>
        <v>3783.2677121955494</v>
      </c>
      <c r="K22" s="429"/>
    </row>
    <row r="23" spans="1:11">
      <c r="A23" s="223">
        <f t="shared" si="2"/>
        <v>9</v>
      </c>
      <c r="B23" s="224">
        <v>36861</v>
      </c>
      <c r="C23" s="261">
        <f>HLOOKUP(Assumptions!$H$12,IDC!$H$40:$L$56,2+F50)</f>
        <v>0</v>
      </c>
      <c r="D23" s="234">
        <v>0</v>
      </c>
      <c r="E23" s="235">
        <f t="shared" si="0"/>
        <v>0</v>
      </c>
      <c r="F23" s="235">
        <f t="shared" si="1"/>
        <v>0</v>
      </c>
      <c r="G23" s="235">
        <f t="shared" si="3"/>
        <v>96273.752356185825</v>
      </c>
      <c r="H23" s="235">
        <f t="shared" si="4"/>
        <v>0</v>
      </c>
      <c r="I23" s="235">
        <f t="shared" si="5"/>
        <v>3783.2677121955494</v>
      </c>
      <c r="K23" s="429"/>
    </row>
    <row r="24" spans="1:11">
      <c r="A24" s="223">
        <f t="shared" si="2"/>
        <v>10</v>
      </c>
      <c r="B24" s="224">
        <v>36892</v>
      </c>
      <c r="C24" s="261">
        <f>HLOOKUP(Assumptions!$H$12,IDC!$H$40:$L$56,2+F51)</f>
        <v>0</v>
      </c>
      <c r="D24" s="234">
        <v>0</v>
      </c>
      <c r="E24" s="235">
        <f t="shared" si="0"/>
        <v>0</v>
      </c>
      <c r="F24" s="235">
        <f t="shared" si="1"/>
        <v>0</v>
      </c>
      <c r="G24" s="235">
        <f t="shared" si="3"/>
        <v>96273.752356185825</v>
      </c>
      <c r="H24" s="235">
        <f t="shared" si="4"/>
        <v>0</v>
      </c>
      <c r="I24" s="235">
        <f t="shared" si="5"/>
        <v>3783.2677121955494</v>
      </c>
      <c r="K24" s="429"/>
    </row>
    <row r="25" spans="1:11">
      <c r="A25" s="223">
        <f t="shared" si="2"/>
        <v>11</v>
      </c>
      <c r="B25" s="224">
        <v>36923</v>
      </c>
      <c r="C25" s="261">
        <f>HLOOKUP(Assumptions!$H$12,IDC!$H$40:$L$56,2+F52)</f>
        <v>0</v>
      </c>
      <c r="D25" s="234">
        <v>0</v>
      </c>
      <c r="E25" s="235">
        <f t="shared" si="0"/>
        <v>0</v>
      </c>
      <c r="F25" s="235">
        <f t="shared" si="1"/>
        <v>0</v>
      </c>
      <c r="G25" s="235">
        <f t="shared" si="3"/>
        <v>96273.752356185825</v>
      </c>
      <c r="H25" s="235">
        <f t="shared" si="4"/>
        <v>0</v>
      </c>
      <c r="I25" s="235">
        <f t="shared" si="5"/>
        <v>3783.2677121955494</v>
      </c>
      <c r="K25" s="429"/>
    </row>
    <row r="26" spans="1:11">
      <c r="A26" s="223">
        <f t="shared" si="2"/>
        <v>12</v>
      </c>
      <c r="B26" s="224">
        <v>36951</v>
      </c>
      <c r="C26" s="261">
        <f>HLOOKUP(Assumptions!$H$12,IDC!$H$40:$L$56,2+F53)</f>
        <v>0</v>
      </c>
      <c r="D26" s="234">
        <v>0</v>
      </c>
      <c r="E26" s="235">
        <f t="shared" si="0"/>
        <v>0</v>
      </c>
      <c r="F26" s="235">
        <f t="shared" si="1"/>
        <v>0</v>
      </c>
      <c r="G26" s="235">
        <f t="shared" si="3"/>
        <v>96273.752356185825</v>
      </c>
      <c r="H26" s="235">
        <f t="shared" si="4"/>
        <v>0</v>
      </c>
      <c r="I26" s="235">
        <f t="shared" si="5"/>
        <v>3783.2677121955494</v>
      </c>
      <c r="K26" s="429"/>
    </row>
    <row r="27" spans="1:11">
      <c r="A27" s="223">
        <f t="shared" si="2"/>
        <v>13</v>
      </c>
      <c r="B27" s="224">
        <v>36982</v>
      </c>
      <c r="C27" s="261">
        <f>HLOOKUP(Assumptions!$H$12,IDC!$H$40:$L$56,2+F54)</f>
        <v>0</v>
      </c>
      <c r="D27" s="234">
        <v>0</v>
      </c>
      <c r="E27" s="235">
        <f t="shared" si="0"/>
        <v>0</v>
      </c>
      <c r="F27" s="235">
        <f t="shared" si="1"/>
        <v>0</v>
      </c>
      <c r="G27" s="235">
        <f t="shared" si="3"/>
        <v>96273.752356185825</v>
      </c>
      <c r="H27" s="235">
        <f t="shared" si="4"/>
        <v>0</v>
      </c>
      <c r="I27" s="235">
        <f t="shared" si="5"/>
        <v>3783.2677121955494</v>
      </c>
      <c r="K27" s="429"/>
    </row>
    <row r="28" spans="1:11">
      <c r="A28" s="223">
        <f t="shared" si="2"/>
        <v>14</v>
      </c>
      <c r="B28" s="224">
        <v>37012</v>
      </c>
      <c r="C28" s="261">
        <f>HLOOKUP(Assumptions!$H$12,IDC!$H$40:$L$56,2+F55)</f>
        <v>0</v>
      </c>
      <c r="D28" s="234">
        <v>0</v>
      </c>
      <c r="E28" s="235">
        <f t="shared" si="0"/>
        <v>0</v>
      </c>
      <c r="F28" s="235">
        <f t="shared" si="1"/>
        <v>0</v>
      </c>
      <c r="G28" s="235">
        <f t="shared" si="3"/>
        <v>96273.752356185825</v>
      </c>
      <c r="H28" s="235">
        <f t="shared" si="4"/>
        <v>0</v>
      </c>
      <c r="I28" s="235">
        <f t="shared" si="5"/>
        <v>3783.2677121955494</v>
      </c>
      <c r="K28" s="429"/>
    </row>
    <row r="29" spans="1:11">
      <c r="A29" s="223">
        <f t="shared" si="2"/>
        <v>15</v>
      </c>
      <c r="B29" s="224">
        <v>37043</v>
      </c>
      <c r="C29" s="261">
        <f>HLOOKUP(Assumptions!$H$12,IDC!$H$40:$L$56,2+F56)</f>
        <v>0</v>
      </c>
      <c r="D29" s="234">
        <v>0</v>
      </c>
      <c r="E29" s="235">
        <f t="shared" si="0"/>
        <v>0</v>
      </c>
      <c r="F29" s="235">
        <f t="shared" si="1"/>
        <v>0</v>
      </c>
      <c r="G29" s="235">
        <f t="shared" si="3"/>
        <v>96273.752356185825</v>
      </c>
      <c r="H29" s="235">
        <f t="shared" si="4"/>
        <v>0</v>
      </c>
      <c r="I29" s="235">
        <f t="shared" si="5"/>
        <v>3783.2677121955494</v>
      </c>
      <c r="K29" s="429"/>
    </row>
    <row r="30" spans="1:11">
      <c r="A30" s="223">
        <f t="shared" si="2"/>
        <v>16</v>
      </c>
      <c r="B30" s="224">
        <v>37073</v>
      </c>
      <c r="C30" s="261">
        <v>0</v>
      </c>
      <c r="D30" s="234">
        <v>0</v>
      </c>
      <c r="E30" s="235">
        <f t="shared" si="0"/>
        <v>0</v>
      </c>
      <c r="F30" s="235">
        <f t="shared" si="1"/>
        <v>0</v>
      </c>
      <c r="G30" s="235">
        <f t="shared" si="3"/>
        <v>96273.752356185825</v>
      </c>
      <c r="H30" s="235">
        <f t="shared" si="4"/>
        <v>0</v>
      </c>
      <c r="I30" s="235">
        <f t="shared" si="5"/>
        <v>3783.2677121955494</v>
      </c>
      <c r="K30" s="429"/>
    </row>
    <row r="31" spans="1:11">
      <c r="A31" s="223">
        <f t="shared" si="2"/>
        <v>17</v>
      </c>
      <c r="B31" s="224">
        <v>37104</v>
      </c>
      <c r="C31" s="261">
        <v>0</v>
      </c>
      <c r="D31" s="234">
        <v>0</v>
      </c>
      <c r="E31" s="235">
        <f t="shared" si="0"/>
        <v>0</v>
      </c>
      <c r="F31" s="235">
        <f t="shared" si="1"/>
        <v>0</v>
      </c>
      <c r="G31" s="235">
        <f t="shared" si="3"/>
        <v>96273.752356185825</v>
      </c>
      <c r="H31" s="235">
        <f t="shared" si="4"/>
        <v>0</v>
      </c>
      <c r="I31" s="235">
        <f t="shared" si="5"/>
        <v>3783.2677121955494</v>
      </c>
      <c r="K31" s="429"/>
    </row>
    <row r="32" spans="1:11">
      <c r="A32" s="223">
        <f t="shared" si="2"/>
        <v>18</v>
      </c>
      <c r="B32" s="224">
        <v>37135</v>
      </c>
      <c r="C32" s="261">
        <v>0</v>
      </c>
      <c r="D32" s="234">
        <v>0</v>
      </c>
      <c r="E32" s="235">
        <f t="shared" si="0"/>
        <v>0</v>
      </c>
      <c r="F32" s="235">
        <f t="shared" si="1"/>
        <v>0</v>
      </c>
      <c r="G32" s="235">
        <f t="shared" si="3"/>
        <v>96273.752356185825</v>
      </c>
      <c r="H32" s="235">
        <f t="shared" si="4"/>
        <v>0</v>
      </c>
      <c r="I32" s="235">
        <f t="shared" si="5"/>
        <v>3783.2677121955494</v>
      </c>
      <c r="K32" s="429"/>
    </row>
    <row r="33" spans="1:12">
      <c r="A33" s="223">
        <f t="shared" si="2"/>
        <v>19</v>
      </c>
      <c r="B33" s="224">
        <v>37165</v>
      </c>
      <c r="C33" s="428">
        <v>0</v>
      </c>
      <c r="D33" s="239">
        <v>0</v>
      </c>
      <c r="E33" s="240">
        <f t="shared" si="0"/>
        <v>0</v>
      </c>
      <c r="F33" s="240">
        <f t="shared" si="1"/>
        <v>0</v>
      </c>
      <c r="G33" s="240">
        <f t="shared" si="3"/>
        <v>96273.752356185825</v>
      </c>
      <c r="H33" s="240">
        <f t="shared" si="4"/>
        <v>0</v>
      </c>
      <c r="I33" s="240">
        <f t="shared" si="5"/>
        <v>3783.2677121955494</v>
      </c>
      <c r="K33" s="429"/>
    </row>
    <row r="34" spans="1:12">
      <c r="C34" s="228">
        <f>SUM(C15:C33)</f>
        <v>1</v>
      </c>
      <c r="D34" s="236">
        <f>SUM(D15:D33)</f>
        <v>85562.69764399025</v>
      </c>
      <c r="E34" s="236">
        <f>SUM(E15:E33)</f>
        <v>6927.7870000000003</v>
      </c>
      <c r="F34" s="236">
        <f>SUM(F15:F33)</f>
        <v>92490.484643990261</v>
      </c>
      <c r="G34" s="18"/>
      <c r="H34" s="236">
        <f>SUM(H15:H33)</f>
        <v>3783.2677121955494</v>
      </c>
      <c r="I34" s="236"/>
    </row>
    <row r="38" spans="1:12" ht="18.75">
      <c r="A38" s="61" t="s">
        <v>215</v>
      </c>
      <c r="B38" s="276"/>
      <c r="F38"/>
      <c r="G38"/>
      <c r="H38"/>
      <c r="I38"/>
      <c r="J38"/>
      <c r="K38"/>
      <c r="L38"/>
    </row>
    <row r="39" spans="1:12" ht="13.5" thickBot="1">
      <c r="F39" s="394" t="s">
        <v>411</v>
      </c>
    </row>
    <row r="40" spans="1:12">
      <c r="F40" s="411"/>
      <c r="G40" s="408" t="s">
        <v>322</v>
      </c>
      <c r="H40" s="408">
        <v>2</v>
      </c>
      <c r="I40" s="408">
        <v>3</v>
      </c>
      <c r="J40" s="408">
        <v>4</v>
      </c>
      <c r="K40" s="520">
        <v>5</v>
      </c>
      <c r="L40" s="409">
        <v>6</v>
      </c>
    </row>
    <row r="41" spans="1:12" ht="13.5" thickBot="1">
      <c r="A41" s="225" t="s">
        <v>323</v>
      </c>
      <c r="B41" s="225" t="s">
        <v>325</v>
      </c>
      <c r="C41" s="225" t="s">
        <v>327</v>
      </c>
      <c r="D41" s="225" t="s">
        <v>214</v>
      </c>
      <c r="F41" s="412" t="s">
        <v>171</v>
      </c>
      <c r="G41" s="410" t="s">
        <v>332</v>
      </c>
      <c r="H41" s="522">
        <v>6</v>
      </c>
      <c r="I41" s="522">
        <v>6.5</v>
      </c>
      <c r="J41" s="522">
        <v>7</v>
      </c>
      <c r="K41" s="523">
        <v>7.5</v>
      </c>
      <c r="L41" s="524">
        <v>8</v>
      </c>
    </row>
    <row r="42" spans="1:12" ht="13.5" thickBot="1">
      <c r="A42" s="225" t="s">
        <v>324</v>
      </c>
      <c r="B42" s="225" t="s">
        <v>326</v>
      </c>
      <c r="C42" s="225" t="s">
        <v>328</v>
      </c>
      <c r="D42" s="225" t="s">
        <v>329</v>
      </c>
      <c r="F42" s="413">
        <v>1</v>
      </c>
      <c r="G42" s="400"/>
      <c r="H42" s="509">
        <v>0.17</v>
      </c>
      <c r="I42" s="509">
        <v>0.17</v>
      </c>
      <c r="J42" s="401">
        <v>0.17</v>
      </c>
      <c r="K42" s="401">
        <v>0.17</v>
      </c>
      <c r="L42" s="402">
        <v>0.17</v>
      </c>
    </row>
    <row r="43" spans="1:12">
      <c r="A43" s="417" t="s">
        <v>213</v>
      </c>
      <c r="B43" s="418">
        <v>3</v>
      </c>
      <c r="C43" s="419">
        <v>36737</v>
      </c>
      <c r="D43" s="420">
        <v>36829</v>
      </c>
      <c r="F43" s="414">
        <v>2</v>
      </c>
      <c r="G43" s="178"/>
      <c r="H43" s="510">
        <v>0.16</v>
      </c>
      <c r="I43" s="510">
        <v>0.16</v>
      </c>
      <c r="J43" s="403">
        <v>0.12</v>
      </c>
      <c r="K43" s="403">
        <v>0.12</v>
      </c>
      <c r="L43" s="404">
        <v>0.12</v>
      </c>
    </row>
    <row r="44" spans="1:12">
      <c r="A44" s="421" t="s">
        <v>212</v>
      </c>
      <c r="B44" s="415">
        <v>3</v>
      </c>
      <c r="C44" s="416">
        <v>36768</v>
      </c>
      <c r="D44" s="422">
        <v>36829</v>
      </c>
      <c r="F44" s="414">
        <v>3</v>
      </c>
      <c r="G44" s="178"/>
      <c r="H44" s="510">
        <v>0.16</v>
      </c>
      <c r="I44" s="510">
        <v>0.13</v>
      </c>
      <c r="J44" s="403">
        <v>0.12</v>
      </c>
      <c r="K44" s="403">
        <v>0.12</v>
      </c>
      <c r="L44" s="404">
        <v>0.12</v>
      </c>
    </row>
    <row r="45" spans="1:12">
      <c r="A45" s="421" t="s">
        <v>211</v>
      </c>
      <c r="B45" s="415">
        <v>2</v>
      </c>
      <c r="C45" s="416">
        <v>36799</v>
      </c>
      <c r="D45" s="422">
        <v>36829</v>
      </c>
      <c r="F45" s="414">
        <v>4</v>
      </c>
      <c r="G45" s="178"/>
      <c r="H45" s="510">
        <v>0.16</v>
      </c>
      <c r="I45" s="510">
        <v>0.16</v>
      </c>
      <c r="J45" s="403">
        <v>0.14000000000000001</v>
      </c>
      <c r="K45" s="403">
        <v>0.14000000000000001</v>
      </c>
      <c r="L45" s="404">
        <v>0.14000000000000001</v>
      </c>
    </row>
    <row r="46" spans="1:12">
      <c r="A46" s="421" t="s">
        <v>210</v>
      </c>
      <c r="B46" s="415">
        <v>3</v>
      </c>
      <c r="C46" s="416">
        <v>36829</v>
      </c>
      <c r="D46" s="422">
        <v>36829</v>
      </c>
      <c r="F46" s="414">
        <v>5</v>
      </c>
      <c r="G46" s="178"/>
      <c r="H46" s="510">
        <v>0.17</v>
      </c>
      <c r="I46" s="510">
        <v>0.16</v>
      </c>
      <c r="J46" s="403">
        <v>0.18</v>
      </c>
      <c r="K46" s="403">
        <v>0.13</v>
      </c>
      <c r="L46" s="404">
        <v>0.13</v>
      </c>
    </row>
    <row r="47" spans="1:12">
      <c r="A47" s="421" t="s">
        <v>209</v>
      </c>
      <c r="B47" s="415">
        <v>2</v>
      </c>
      <c r="C47" s="416">
        <v>36860</v>
      </c>
      <c r="D47" s="422">
        <v>36860</v>
      </c>
      <c r="F47" s="414">
        <v>6</v>
      </c>
      <c r="G47" s="178"/>
      <c r="H47" s="510">
        <v>0.18</v>
      </c>
      <c r="I47" s="510">
        <v>0.12</v>
      </c>
      <c r="J47" s="403">
        <v>0.12</v>
      </c>
      <c r="K47" s="403">
        <v>0.12</v>
      </c>
      <c r="L47" s="404">
        <v>0.12</v>
      </c>
    </row>
    <row r="48" spans="1:12">
      <c r="A48" s="423" t="s">
        <v>208</v>
      </c>
      <c r="B48" s="415">
        <v>2</v>
      </c>
      <c r="C48" s="416">
        <v>36890</v>
      </c>
      <c r="D48" s="422">
        <v>36890</v>
      </c>
      <c r="F48" s="414">
        <v>7</v>
      </c>
      <c r="G48" s="178"/>
      <c r="H48" s="510">
        <v>0</v>
      </c>
      <c r="I48" s="510">
        <v>0.1</v>
      </c>
      <c r="J48" s="403">
        <v>0.15</v>
      </c>
      <c r="K48" s="403">
        <v>0.1</v>
      </c>
      <c r="L48" s="404">
        <v>0.1</v>
      </c>
    </row>
    <row r="49" spans="1:12">
      <c r="A49" s="423" t="s">
        <v>207</v>
      </c>
      <c r="B49" s="415">
        <v>3</v>
      </c>
      <c r="C49" s="416">
        <v>36555</v>
      </c>
      <c r="D49" s="422">
        <v>36555</v>
      </c>
      <c r="F49" s="414">
        <v>8</v>
      </c>
      <c r="G49" s="178"/>
      <c r="H49" s="510">
        <v>0</v>
      </c>
      <c r="I49" s="510">
        <v>0</v>
      </c>
      <c r="J49" s="403">
        <v>0</v>
      </c>
      <c r="K49" s="403">
        <v>0.1</v>
      </c>
      <c r="L49" s="404">
        <v>0.1</v>
      </c>
    </row>
    <row r="50" spans="1:12">
      <c r="A50" s="423" t="s">
        <v>206</v>
      </c>
      <c r="B50" s="415">
        <v>2</v>
      </c>
      <c r="C50" s="416">
        <v>36950</v>
      </c>
      <c r="D50" s="422">
        <v>36950</v>
      </c>
      <c r="F50" s="414">
        <v>9</v>
      </c>
      <c r="G50" s="178"/>
      <c r="H50" s="510">
        <v>0</v>
      </c>
      <c r="I50" s="510">
        <v>0</v>
      </c>
      <c r="J50" s="403">
        <v>0</v>
      </c>
      <c r="K50" s="403">
        <v>0</v>
      </c>
      <c r="L50" s="404">
        <v>0</v>
      </c>
    </row>
    <row r="51" spans="1:12">
      <c r="A51" s="423" t="s">
        <v>205</v>
      </c>
      <c r="B51" s="415">
        <v>2</v>
      </c>
      <c r="C51" s="416">
        <v>36980</v>
      </c>
      <c r="D51" s="422">
        <v>36980</v>
      </c>
      <c r="F51" s="414">
        <v>10</v>
      </c>
      <c r="G51" s="178"/>
      <c r="H51" s="510">
        <v>0</v>
      </c>
      <c r="I51" s="510">
        <v>0</v>
      </c>
      <c r="J51" s="403">
        <v>0</v>
      </c>
      <c r="K51" s="403">
        <v>0</v>
      </c>
      <c r="L51" s="404">
        <v>0</v>
      </c>
    </row>
    <row r="52" spans="1:12" ht="13.5" thickBot="1">
      <c r="A52" s="424" t="s">
        <v>204</v>
      </c>
      <c r="B52" s="425">
        <v>2</v>
      </c>
      <c r="C52" s="426">
        <v>37011</v>
      </c>
      <c r="D52" s="427">
        <v>37011</v>
      </c>
      <c r="F52" s="414">
        <v>11</v>
      </c>
      <c r="G52" s="178"/>
      <c r="H52" s="510">
        <v>0</v>
      </c>
      <c r="I52" s="510">
        <v>0</v>
      </c>
      <c r="J52" s="403">
        <v>0</v>
      </c>
      <c r="K52" s="403">
        <v>0</v>
      </c>
      <c r="L52" s="404">
        <v>0</v>
      </c>
    </row>
    <row r="53" spans="1:12">
      <c r="F53" s="414">
        <v>12</v>
      </c>
      <c r="G53" s="178"/>
      <c r="H53" s="510">
        <v>0</v>
      </c>
      <c r="I53" s="510">
        <v>0</v>
      </c>
      <c r="J53" s="403">
        <v>0</v>
      </c>
      <c r="K53" s="403">
        <v>0</v>
      </c>
      <c r="L53" s="404">
        <v>0</v>
      </c>
    </row>
    <row r="54" spans="1:12" ht="13.5" thickBot="1">
      <c r="F54" s="414">
        <v>13</v>
      </c>
      <c r="G54" s="178"/>
      <c r="H54" s="510">
        <v>0</v>
      </c>
      <c r="I54" s="510">
        <v>0</v>
      </c>
      <c r="J54" s="403">
        <v>0</v>
      </c>
      <c r="K54" s="403">
        <v>0</v>
      </c>
      <c r="L54" s="404">
        <v>0</v>
      </c>
    </row>
    <row r="55" spans="1:12">
      <c r="A55" s="278" t="s">
        <v>330</v>
      </c>
      <c r="B55" s="38"/>
      <c r="C55" s="38"/>
      <c r="D55" s="277"/>
      <c r="F55" s="414">
        <v>14</v>
      </c>
      <c r="G55" s="178"/>
      <c r="H55" s="403">
        <v>0</v>
      </c>
      <c r="I55" s="403">
        <v>0</v>
      </c>
      <c r="J55" s="403">
        <v>0</v>
      </c>
      <c r="K55" s="403">
        <v>0</v>
      </c>
      <c r="L55" s="404">
        <v>0</v>
      </c>
    </row>
    <row r="56" spans="1:12" ht="13.5" thickBot="1">
      <c r="A56" s="41" t="s">
        <v>560</v>
      </c>
      <c r="B56" s="13"/>
      <c r="C56" s="13"/>
      <c r="D56" s="593">
        <v>13950</v>
      </c>
      <c r="F56" s="457">
        <v>15</v>
      </c>
      <c r="G56" s="405"/>
      <c r="H56" s="406">
        <v>0</v>
      </c>
      <c r="I56" s="406">
        <v>0</v>
      </c>
      <c r="J56" s="406">
        <v>0</v>
      </c>
      <c r="K56" s="406">
        <v>0</v>
      </c>
      <c r="L56" s="407">
        <v>0</v>
      </c>
    </row>
    <row r="57" spans="1:12" ht="13.5" thickBot="1">
      <c r="A57" s="41" t="s">
        <v>217</v>
      </c>
      <c r="B57" s="13"/>
      <c r="C57" s="13"/>
      <c r="D57" s="593">
        <v>289.6162739983738</v>
      </c>
      <c r="F57" s="430" t="s">
        <v>333</v>
      </c>
      <c r="G57" s="405"/>
      <c r="H57" s="406">
        <f>SUM(H42:H56)</f>
        <v>1</v>
      </c>
      <c r="I57" s="406">
        <f>SUM(I42:I56)</f>
        <v>1</v>
      </c>
      <c r="J57" s="406">
        <f>SUM(J42:J56)</f>
        <v>1</v>
      </c>
      <c r="K57" s="521">
        <f>SUM(K42:K56)</f>
        <v>1</v>
      </c>
      <c r="L57" s="407">
        <f>SUM(L42:L56)</f>
        <v>1</v>
      </c>
    </row>
    <row r="58" spans="1:12" ht="13.5" thickBot="1">
      <c r="A58" s="171" t="s">
        <v>216</v>
      </c>
      <c r="B58" s="42"/>
      <c r="C58" s="42"/>
      <c r="D58" s="594">
        <v>20.833333333333314</v>
      </c>
      <c r="E58" s="66"/>
    </row>
    <row r="59" spans="1:12" ht="13.5" thickBot="1">
      <c r="A59" s="279" t="s">
        <v>331</v>
      </c>
      <c r="B59" s="280"/>
      <c r="C59" s="280"/>
      <c r="D59" s="281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New Orleans, Louisiana</v>
      </c>
    </row>
    <row r="4" spans="1:4" ht="18.75">
      <c r="A4" s="169" t="s">
        <v>118</v>
      </c>
    </row>
    <row r="6" spans="1:4" ht="13.5" thickBot="1"/>
    <row r="7" spans="1:4" ht="13.5" thickBot="1">
      <c r="A7" s="507"/>
      <c r="B7" s="463" t="s">
        <v>395</v>
      </c>
      <c r="C7" s="464" t="s">
        <v>0</v>
      </c>
      <c r="D7" s="465"/>
    </row>
    <row r="8" spans="1:4">
      <c r="A8" s="466"/>
      <c r="B8" s="284" t="s">
        <v>120</v>
      </c>
      <c r="C8" s="284" t="s">
        <v>2</v>
      </c>
      <c r="D8" s="467" t="s">
        <v>402</v>
      </c>
    </row>
    <row r="9" spans="1:4" ht="13.5" thickBot="1">
      <c r="A9" s="468" t="s">
        <v>117</v>
      </c>
      <c r="B9" s="469">
        <f>'Returns Analysis'!C39</f>
        <v>8.7544873356819167E-2</v>
      </c>
      <c r="C9" s="470">
        <f>Debt!E69</f>
        <v>1.2999999999999963</v>
      </c>
      <c r="D9" s="471">
        <f>Debt!E68</f>
        <v>1.3000000000000005</v>
      </c>
    </row>
    <row r="10" spans="1:4">
      <c r="A10" s="63"/>
      <c r="C10" s="472"/>
      <c r="D10" s="472"/>
    </row>
    <row r="11" spans="1:4" ht="13.5" thickBot="1"/>
    <row r="12" spans="1:4">
      <c r="A12" s="473" t="s">
        <v>361</v>
      </c>
      <c r="B12" s="474">
        <f>B9</f>
        <v>8.7544873356819167E-2</v>
      </c>
      <c r="C12" s="475">
        <f>C9</f>
        <v>1.2999999999999963</v>
      </c>
      <c r="D12" s="476">
        <f>D9</f>
        <v>1.3000000000000005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C4" sqref="C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9.85546875" style="12" customWidth="1"/>
    <col min="6" max="6" width="35" style="12" customWidth="1"/>
    <col min="7" max="7" width="18" style="12" customWidth="1"/>
    <col min="8" max="8" width="18.28515625" style="12" customWidth="1"/>
    <col min="9" max="9" width="17.85546875" style="12" customWidth="1"/>
    <col min="10" max="10" width="22.28515625" style="12" customWidth="1"/>
    <col min="11" max="11" width="5" style="12" customWidth="1"/>
    <col min="12" max="12" width="34.7109375" style="12" customWidth="1"/>
    <col min="13" max="13" width="13.28515625" style="12" customWidth="1"/>
    <col min="14" max="22" width="12.85546875" style="12" customWidth="1"/>
    <col min="23" max="23" width="17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1" t="s">
        <v>82</v>
      </c>
      <c r="I1" s="80"/>
      <c r="AL1" s="80"/>
    </row>
    <row r="2" spans="1:38" ht="13.5" customHeight="1" thickBot="1">
      <c r="A2" s="241"/>
      <c r="I2" s="80"/>
      <c r="AL2" s="80"/>
    </row>
    <row r="3" spans="1:38" ht="19.5" customHeight="1">
      <c r="A3" s="595" t="s">
        <v>565</v>
      </c>
      <c r="I3" s="80"/>
      <c r="AL3" s="80"/>
    </row>
    <row r="4" spans="1:38" s="5" customFormat="1" ht="19.5" customHeight="1" thickBot="1">
      <c r="A4" s="596" t="s">
        <v>554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198"/>
      <c r="J8" s="39"/>
      <c r="L8" s="94" t="s">
        <v>190</v>
      </c>
      <c r="M8" s="119"/>
      <c r="N8" s="38"/>
      <c r="O8" s="38"/>
      <c r="P8" s="39"/>
      <c r="U8" s="326" t="s">
        <v>222</v>
      </c>
      <c r="V8" s="327" t="s">
        <v>227</v>
      </c>
      <c r="W8" s="327" t="s">
        <v>231</v>
      </c>
      <c r="X8" s="327" t="s">
        <v>119</v>
      </c>
      <c r="Y8" s="327" t="s">
        <v>246</v>
      </c>
      <c r="Z8" s="327" t="s">
        <v>247</v>
      </c>
      <c r="AA8" s="327" t="s">
        <v>248</v>
      </c>
      <c r="AB8" s="349" t="s">
        <v>306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294</v>
      </c>
      <c r="M9" s="13"/>
      <c r="N9" s="13"/>
      <c r="O9" s="13"/>
      <c r="P9" s="40"/>
      <c r="U9" s="316" t="s">
        <v>226</v>
      </c>
      <c r="V9" s="317" t="s">
        <v>228</v>
      </c>
      <c r="W9" s="317" t="s">
        <v>300</v>
      </c>
      <c r="X9" s="317" t="s">
        <v>242</v>
      </c>
      <c r="Y9" s="317" t="s">
        <v>251</v>
      </c>
      <c r="Z9" s="317" t="s">
        <v>249</v>
      </c>
      <c r="AA9" s="317" t="s">
        <v>249</v>
      </c>
      <c r="AB9" s="350" t="s">
        <v>309</v>
      </c>
    </row>
    <row r="10" spans="1:38" ht="15.75">
      <c r="A10" s="95" t="s">
        <v>6</v>
      </c>
      <c r="B10" s="96" t="s">
        <v>7</v>
      </c>
      <c r="C10" s="193" t="s">
        <v>8</v>
      </c>
      <c r="D10" s="335" t="s">
        <v>187</v>
      </c>
      <c r="E10" s="13"/>
      <c r="F10" s="116" t="s">
        <v>103</v>
      </c>
      <c r="G10" s="13"/>
      <c r="H10" s="275" t="s">
        <v>112</v>
      </c>
      <c r="I10" s="578"/>
      <c r="J10" s="576"/>
      <c r="L10" s="41"/>
      <c r="M10" s="13"/>
      <c r="N10" s="13"/>
      <c r="O10" s="13"/>
      <c r="P10" s="40"/>
      <c r="U10" s="282" t="s">
        <v>223</v>
      </c>
      <c r="V10" s="202" t="s">
        <v>229</v>
      </c>
      <c r="W10" s="202" t="s">
        <v>301</v>
      </c>
      <c r="X10" s="202" t="s">
        <v>241</v>
      </c>
      <c r="Y10" s="202" t="s">
        <v>315</v>
      </c>
      <c r="Z10" s="202" t="s">
        <v>250</v>
      </c>
      <c r="AA10" s="202" t="s">
        <v>250</v>
      </c>
      <c r="AB10" s="351" t="s">
        <v>307</v>
      </c>
    </row>
    <row r="11" spans="1:38" ht="15.75">
      <c r="A11" s="98" t="s">
        <v>9</v>
      </c>
      <c r="B11" s="262">
        <f>C11/$C$14</f>
        <v>0.3</v>
      </c>
      <c r="C11" s="540">
        <f>C60-C12</f>
        <v>43755.08314685573</v>
      </c>
      <c r="D11" s="336">
        <f>C11/$H$68</f>
        <v>160.27502984196238</v>
      </c>
      <c r="E11" s="13"/>
      <c r="F11" s="116" t="s">
        <v>202</v>
      </c>
      <c r="G11" s="13"/>
      <c r="H11" s="275">
        <v>14260.449607331708</v>
      </c>
      <c r="I11" s="579"/>
      <c r="J11" s="352"/>
      <c r="L11" s="118" t="s">
        <v>125</v>
      </c>
      <c r="M11" s="13"/>
      <c r="N11" s="254">
        <v>0.02</v>
      </c>
      <c r="O11" s="217"/>
      <c r="P11" s="40"/>
      <c r="U11" s="282" t="s">
        <v>37</v>
      </c>
      <c r="V11" s="202" t="s">
        <v>226</v>
      </c>
      <c r="W11" s="202"/>
      <c r="X11" s="202" t="s">
        <v>302</v>
      </c>
      <c r="Y11" s="202"/>
      <c r="Z11" s="202"/>
      <c r="AA11" s="202"/>
      <c r="AB11" s="351" t="s">
        <v>308</v>
      </c>
    </row>
    <row r="12" spans="1:38" ht="15.75">
      <c r="A12" s="98" t="s">
        <v>85</v>
      </c>
      <c r="B12" s="562">
        <v>0.7</v>
      </c>
      <c r="C12" s="540">
        <f>B12*C60</f>
        <v>102095.19400933004</v>
      </c>
      <c r="D12" s="336">
        <f>C12/$H$68</f>
        <v>373.97506963124556</v>
      </c>
      <c r="E12" s="13"/>
      <c r="F12" s="116" t="s">
        <v>11</v>
      </c>
      <c r="G12" s="175"/>
      <c r="H12" s="244">
        <v>6</v>
      </c>
      <c r="I12" s="156"/>
      <c r="J12" s="577"/>
      <c r="L12" s="101"/>
      <c r="M12" s="13"/>
      <c r="N12" s="13"/>
      <c r="O12" s="217"/>
      <c r="P12" s="40"/>
      <c r="U12" s="328"/>
      <c r="V12" s="202" t="s">
        <v>37</v>
      </c>
      <c r="W12" s="13"/>
      <c r="X12" s="202" t="s">
        <v>245</v>
      </c>
      <c r="Y12" s="13"/>
      <c r="Z12" s="13"/>
      <c r="AA12" s="13"/>
      <c r="AB12" s="322"/>
    </row>
    <row r="13" spans="1:38" ht="15.75">
      <c r="A13" s="99"/>
      <c r="B13" s="242"/>
      <c r="C13" s="194"/>
      <c r="D13" s="336"/>
      <c r="E13" s="13"/>
      <c r="F13" s="116" t="s">
        <v>254</v>
      </c>
      <c r="G13" s="175"/>
      <c r="H13" s="245">
        <v>45.5</v>
      </c>
      <c r="I13" s="153"/>
      <c r="J13" s="577"/>
      <c r="L13" s="118" t="s">
        <v>87</v>
      </c>
      <c r="M13" s="13"/>
      <c r="N13" s="97"/>
      <c r="O13" s="217"/>
      <c r="P13" s="40"/>
      <c r="U13" s="316">
        <v>1</v>
      </c>
      <c r="V13" s="317">
        <v>1</v>
      </c>
      <c r="W13" s="317">
        <v>1</v>
      </c>
      <c r="X13" s="317">
        <v>1</v>
      </c>
      <c r="Y13" s="317">
        <v>2</v>
      </c>
      <c r="Z13" s="317">
        <v>1</v>
      </c>
      <c r="AA13" s="317">
        <f>IF(C30&gt;0,1,2)</f>
        <v>1</v>
      </c>
      <c r="AB13" s="350">
        <v>1</v>
      </c>
    </row>
    <row r="14" spans="1:38" ht="15.75">
      <c r="A14" s="100" t="s">
        <v>10</v>
      </c>
      <c r="B14" s="148">
        <f>C14/$C$14</f>
        <v>1</v>
      </c>
      <c r="C14" s="195">
        <f>SUM(C11:C12)</f>
        <v>145850.27715618577</v>
      </c>
      <c r="D14" s="439">
        <f>C14/$H$68</f>
        <v>534.25009947320791</v>
      </c>
      <c r="E14" s="13"/>
      <c r="F14" s="116" t="s">
        <v>363</v>
      </c>
      <c r="G14" s="175"/>
      <c r="H14" s="244">
        <v>10300</v>
      </c>
      <c r="I14" s="156"/>
      <c r="J14" s="577"/>
      <c r="L14" s="41"/>
      <c r="M14" s="13"/>
      <c r="N14" s="201" t="s">
        <v>409</v>
      </c>
      <c r="O14" s="581"/>
      <c r="P14" s="40"/>
      <c r="U14" s="283" t="str">
        <f>CHOOSE(U13,U9,U10,U11)</f>
        <v>Index</v>
      </c>
      <c r="V14" s="284" t="str">
        <f>CHOOSE(V13,V9,V10,V11,V12)</f>
        <v>Base</v>
      </c>
      <c r="W14" s="284" t="str">
        <f>CHOOSE(W13,W9,W10,W11,W12)</f>
        <v>Pass-through</v>
      </c>
      <c r="X14" s="284" t="str">
        <f>CHOOSE(X13,X9,X10,X11,X12)</f>
        <v>EBITDA Exit Multiple</v>
      </c>
      <c r="Y14" s="284">
        <f>IF(Y13=1,1,2)</f>
        <v>2</v>
      </c>
      <c r="Z14" s="284">
        <f>IF(C33&gt;0,10,20)</f>
        <v>10</v>
      </c>
      <c r="AA14" s="284" t="str">
        <f>CHOOSE(AA13,AA9,AA10,AA11,AA12)</f>
        <v>Yes</v>
      </c>
      <c r="AB14" s="318" t="str">
        <f>CHOOSE(AB13,AB9,AB10,AB11,AB12)</f>
        <v>Bank LT Debt</v>
      </c>
    </row>
    <row r="15" spans="1:38" ht="15.75">
      <c r="A15" s="41"/>
      <c r="B15" s="13"/>
      <c r="C15" s="13"/>
      <c r="D15" s="338"/>
      <c r="E15" s="13"/>
      <c r="F15" s="116" t="s">
        <v>364</v>
      </c>
      <c r="G15" s="175"/>
      <c r="H15" s="244">
        <v>10500</v>
      </c>
      <c r="I15" s="156"/>
      <c r="J15" s="577"/>
      <c r="L15" s="101" t="s">
        <v>519</v>
      </c>
      <c r="M15" s="13"/>
      <c r="N15" s="582">
        <v>0.54</v>
      </c>
      <c r="O15" s="218"/>
      <c r="P15" s="40"/>
    </row>
    <row r="16" spans="1:38" ht="15.75">
      <c r="A16" s="41"/>
      <c r="B16" s="13"/>
      <c r="C16" s="13"/>
      <c r="D16" s="338"/>
      <c r="E16" s="13"/>
      <c r="F16" s="116" t="s">
        <v>182</v>
      </c>
      <c r="G16" s="13"/>
      <c r="H16" s="516">
        <v>7</v>
      </c>
      <c r="I16" s="13"/>
      <c r="J16" s="40"/>
      <c r="L16" s="104" t="s">
        <v>522</v>
      </c>
      <c r="M16" s="13"/>
      <c r="N16" s="583">
        <v>1.5</v>
      </c>
      <c r="O16" s="287"/>
      <c r="P16" s="40"/>
      <c r="U16" s="320"/>
      <c r="V16" s="57" t="s">
        <v>255</v>
      </c>
      <c r="W16" s="321" t="s">
        <v>256</v>
      </c>
    </row>
    <row r="17" spans="1:23" ht="15.75">
      <c r="A17" s="95" t="s">
        <v>102</v>
      </c>
      <c r="B17" s="96"/>
      <c r="C17" s="196"/>
      <c r="D17" s="336"/>
      <c r="E17" s="13"/>
      <c r="F17" s="116" t="s">
        <v>105</v>
      </c>
      <c r="G17" s="175"/>
      <c r="H17" s="247">
        <v>37012</v>
      </c>
      <c r="I17" s="342"/>
      <c r="J17" s="580"/>
      <c r="L17" s="116" t="s">
        <v>232</v>
      </c>
      <c r="M17" s="6"/>
      <c r="N17" s="584">
        <f>SUM(N15:N16)</f>
        <v>2.04</v>
      </c>
      <c r="O17" s="219"/>
      <c r="P17" s="40"/>
      <c r="U17" s="55" t="s">
        <v>251</v>
      </c>
      <c r="V17" s="13">
        <v>11</v>
      </c>
      <c r="W17" s="322">
        <v>21</v>
      </c>
    </row>
    <row r="18" spans="1:23" ht="15.75">
      <c r="A18" s="184"/>
      <c r="B18" s="166"/>
      <c r="C18" s="13"/>
      <c r="D18" s="338"/>
      <c r="E18" s="13"/>
      <c r="F18" s="101" t="s">
        <v>128</v>
      </c>
      <c r="G18" s="97"/>
      <c r="H18" s="560">
        <v>8</v>
      </c>
      <c r="I18" s="110"/>
      <c r="J18" s="40"/>
      <c r="L18" s="41"/>
      <c r="M18" s="13"/>
      <c r="N18" s="13"/>
      <c r="O18" s="13"/>
      <c r="P18" s="187" t="s">
        <v>413</v>
      </c>
      <c r="U18" s="323" t="s">
        <v>252</v>
      </c>
      <c r="V18" s="58">
        <v>12</v>
      </c>
      <c r="W18" s="285">
        <v>22</v>
      </c>
    </row>
    <row r="19" spans="1:23" ht="15.75">
      <c r="A19" s="98" t="s">
        <v>404</v>
      </c>
      <c r="B19" s="13"/>
      <c r="C19" s="13"/>
      <c r="D19" s="338"/>
      <c r="E19" s="13"/>
      <c r="F19" s="116" t="s">
        <v>104</v>
      </c>
      <c r="G19" s="13"/>
      <c r="H19" s="244">
        <v>30</v>
      </c>
      <c r="I19" s="110"/>
      <c r="J19" s="40"/>
      <c r="L19" s="101" t="s">
        <v>520</v>
      </c>
      <c r="M19" s="13"/>
      <c r="N19" s="246">
        <v>750</v>
      </c>
      <c r="O19" s="264">
        <f t="shared" ref="O19:O25" si="0">N19/$H$68</f>
        <v>2.7472527472527473</v>
      </c>
      <c r="P19" s="40"/>
    </row>
    <row r="20" spans="1:23" ht="15.75">
      <c r="A20" s="101" t="s">
        <v>563</v>
      </c>
      <c r="B20" s="167">
        <f t="shared" ref="B20:B33" si="1">C20/$C$60</f>
        <v>0.58664748063772454</v>
      </c>
      <c r="C20" s="537">
        <f>(H11*H12)</f>
        <v>85562.69764399025</v>
      </c>
      <c r="D20" s="336">
        <f t="shared" ref="D20:D26" si="2">C20/$H$68</f>
        <v>313.41647488641115</v>
      </c>
      <c r="E20" s="13"/>
      <c r="F20" s="116" t="s">
        <v>288</v>
      </c>
      <c r="G20" s="13"/>
      <c r="H20" s="325" t="s">
        <v>424</v>
      </c>
      <c r="I20" s="110"/>
      <c r="J20" s="40"/>
      <c r="L20" s="101" t="s">
        <v>523</v>
      </c>
      <c r="M20" s="13"/>
      <c r="N20" s="246">
        <v>250</v>
      </c>
      <c r="O20" s="264">
        <f t="shared" si="0"/>
        <v>0.91575091575091572</v>
      </c>
      <c r="P20" s="40"/>
    </row>
    <row r="21" spans="1:23" ht="15.75">
      <c r="A21" s="101" t="s">
        <v>243</v>
      </c>
      <c r="B21" s="167">
        <f t="shared" si="1"/>
        <v>0</v>
      </c>
      <c r="C21" s="537">
        <v>0</v>
      </c>
      <c r="D21" s="336">
        <f t="shared" si="2"/>
        <v>0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46">
        <v>0</v>
      </c>
      <c r="O21" s="264">
        <f t="shared" si="0"/>
        <v>0</v>
      </c>
      <c r="P21" s="40"/>
    </row>
    <row r="22" spans="1:23" ht="15.75">
      <c r="A22" s="101" t="s">
        <v>425</v>
      </c>
      <c r="B22" s="167">
        <f t="shared" si="1"/>
        <v>4.1138077465391566E-3</v>
      </c>
      <c r="C22" s="536">
        <f>'Cost Details'!D29</f>
        <v>600</v>
      </c>
      <c r="D22" s="336">
        <f t="shared" si="2"/>
        <v>2.197802197802198</v>
      </c>
      <c r="E22" s="13"/>
      <c r="F22" s="115" t="s">
        <v>414</v>
      </c>
      <c r="G22" s="13"/>
      <c r="H22" s="315"/>
      <c r="I22" s="13"/>
      <c r="J22" s="40"/>
      <c r="L22" s="101" t="s">
        <v>337</v>
      </c>
      <c r="M22" s="13"/>
      <c r="N22" s="246">
        <v>0</v>
      </c>
      <c r="O22" s="264">
        <f t="shared" si="0"/>
        <v>0</v>
      </c>
      <c r="P22" s="40"/>
    </row>
    <row r="23" spans="1:23" ht="15.75">
      <c r="A23" s="101" t="s">
        <v>512</v>
      </c>
      <c r="B23" s="167">
        <f t="shared" si="1"/>
        <v>1.2941017575021797E-2</v>
      </c>
      <c r="C23" s="542">
        <f>'Cost Details'!D12</f>
        <v>1887.451</v>
      </c>
      <c r="D23" s="336">
        <f t="shared" si="2"/>
        <v>6.9137399267399271</v>
      </c>
      <c r="E23" s="13"/>
      <c r="F23" s="314" t="s">
        <v>242</v>
      </c>
      <c r="G23" s="175"/>
      <c r="H23" s="313">
        <v>5</v>
      </c>
      <c r="I23" s="347"/>
      <c r="J23" s="40"/>
      <c r="L23" s="101" t="s">
        <v>522</v>
      </c>
      <c r="M23" s="13"/>
      <c r="N23" s="246">
        <v>600</v>
      </c>
      <c r="O23" s="264">
        <f t="shared" si="0"/>
        <v>2.197802197802198</v>
      </c>
      <c r="P23" s="40"/>
    </row>
    <row r="24" spans="1:23" ht="15.75">
      <c r="A24" s="101" t="s">
        <v>513</v>
      </c>
      <c r="B24" s="167">
        <f t="shared" si="1"/>
        <v>1.7932801027173585E-2</v>
      </c>
      <c r="C24" s="542">
        <f>'Cost Details'!D21</f>
        <v>2615.5039999999999</v>
      </c>
      <c r="D24" s="336">
        <f t="shared" si="2"/>
        <v>9.5806007326007325</v>
      </c>
      <c r="E24" s="13"/>
      <c r="F24" s="314" t="s">
        <v>362</v>
      </c>
      <c r="G24" s="13"/>
      <c r="H24" s="346">
        <v>0.1</v>
      </c>
      <c r="I24" s="110"/>
      <c r="J24" s="40"/>
      <c r="L24" s="101" t="s">
        <v>521</v>
      </c>
      <c r="M24" s="13"/>
      <c r="N24" s="246">
        <v>75</v>
      </c>
      <c r="O24" s="264">
        <f t="shared" si="0"/>
        <v>0.27472527472527475</v>
      </c>
      <c r="P24" s="40"/>
    </row>
    <row r="25" spans="1:23" ht="16.5" thickBot="1">
      <c r="A25" s="101" t="s">
        <v>515</v>
      </c>
      <c r="B25" s="167">
        <f t="shared" si="1"/>
        <v>0.12366660764507864</v>
      </c>
      <c r="C25" s="536">
        <f>'Cost Details'!D67</f>
        <v>18036.809000000001</v>
      </c>
      <c r="D25" s="336">
        <f t="shared" si="2"/>
        <v>66.068897435897441</v>
      </c>
      <c r="E25" s="13"/>
      <c r="F25" s="243" t="s">
        <v>187</v>
      </c>
      <c r="G25" s="42"/>
      <c r="H25" s="345">
        <v>200</v>
      </c>
      <c r="I25" s="42"/>
      <c r="J25" s="81"/>
      <c r="L25" s="104" t="s">
        <v>416</v>
      </c>
      <c r="M25" s="214"/>
      <c r="N25" s="286">
        <v>150</v>
      </c>
      <c r="O25" s="288">
        <f t="shared" si="0"/>
        <v>0.5494505494505495</v>
      </c>
      <c r="P25" s="40"/>
    </row>
    <row r="26" spans="1:23" ht="16.5" thickBot="1">
      <c r="A26" s="101" t="s">
        <v>516</v>
      </c>
      <c r="B26" s="167">
        <f t="shared" si="1"/>
        <v>4.7499306378288773E-2</v>
      </c>
      <c r="C26" s="536">
        <f>'Cost Details'!D86</f>
        <v>6927.7870000000003</v>
      </c>
      <c r="D26" s="336">
        <f t="shared" si="2"/>
        <v>25.376509157509158</v>
      </c>
      <c r="E26" s="13"/>
      <c r="L26" s="116" t="s">
        <v>233</v>
      </c>
      <c r="M26" s="6"/>
      <c r="N26" s="267">
        <f>SUM(N19:N25)</f>
        <v>1825</v>
      </c>
      <c r="O26" s="289">
        <f>SUM(O19:O25)</f>
        <v>6.6849816849816852</v>
      </c>
      <c r="P26" s="352"/>
    </row>
    <row r="27" spans="1:23" ht="15.75">
      <c r="A27" s="101" t="s">
        <v>107</v>
      </c>
      <c r="B27" s="167">
        <f t="shared" si="1"/>
        <v>0</v>
      </c>
      <c r="C27" s="536">
        <f>'Cost Details'!D32</f>
        <v>0</v>
      </c>
      <c r="D27" s="336">
        <f t="shared" ref="D27:D33" si="3">C27/$H$68</f>
        <v>0</v>
      </c>
      <c r="E27" s="13"/>
      <c r="F27" s="94" t="s">
        <v>111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108</v>
      </c>
      <c r="B28" s="167">
        <f t="shared" si="1"/>
        <v>1.1518661690309639E-2</v>
      </c>
      <c r="C28" s="536">
        <f>'Cost Details'!D31</f>
        <v>1680</v>
      </c>
      <c r="D28" s="336">
        <f t="shared" si="3"/>
        <v>6.1538461538461542</v>
      </c>
      <c r="E28" s="13"/>
      <c r="F28" s="343" t="s">
        <v>109</v>
      </c>
      <c r="G28" s="344"/>
      <c r="H28" s="344" t="s">
        <v>305</v>
      </c>
      <c r="I28" s="178"/>
      <c r="J28" s="319"/>
      <c r="L28" s="118" t="s">
        <v>88</v>
      </c>
      <c r="M28" s="13"/>
      <c r="N28" s="160"/>
      <c r="O28" s="219"/>
      <c r="P28" s="40"/>
      <c r="R28" s="3"/>
    </row>
    <row r="29" spans="1:23" ht="15.75">
      <c r="A29" s="101" t="s">
        <v>514</v>
      </c>
      <c r="B29" s="167">
        <f t="shared" si="1"/>
        <v>4.8902409642747136E-3</v>
      </c>
      <c r="C29" s="536">
        <f>'Cost Details'!D24</f>
        <v>713.24300000000005</v>
      </c>
      <c r="D29" s="336">
        <f t="shared" si="3"/>
        <v>2.6126117216117217</v>
      </c>
      <c r="E29" s="13"/>
      <c r="F29" s="314" t="s">
        <v>83</v>
      </c>
      <c r="G29" s="247">
        <v>36770</v>
      </c>
      <c r="H29" s="342"/>
      <c r="I29" s="178"/>
      <c r="J29" s="319"/>
      <c r="L29" s="101" t="s">
        <v>222</v>
      </c>
      <c r="M29" s="13"/>
      <c r="N29" s="267">
        <f>IS!C16</f>
        <v>0</v>
      </c>
      <c r="O29" s="219">
        <f>N29/$H$68</f>
        <v>0</v>
      </c>
      <c r="P29" s="40"/>
      <c r="R29" s="330"/>
    </row>
    <row r="30" spans="1:23" ht="15.75">
      <c r="A30" s="101" t="s">
        <v>517</v>
      </c>
      <c r="B30" s="167">
        <f t="shared" si="1"/>
        <v>7.6603899682930063E-2</v>
      </c>
      <c r="C30" s="536">
        <f>'Cost Details'!D108</f>
        <v>11172.7</v>
      </c>
      <c r="D30" s="336">
        <f t="shared" si="3"/>
        <v>40.925641025641028</v>
      </c>
      <c r="E30" s="13"/>
      <c r="F30" s="314" t="s">
        <v>121</v>
      </c>
      <c r="G30" s="247">
        <v>36571</v>
      </c>
      <c r="H30" s="342"/>
      <c r="I30" s="178"/>
      <c r="J30" s="319"/>
      <c r="L30" s="101" t="s">
        <v>201</v>
      </c>
      <c r="M30" s="13"/>
      <c r="N30" s="246">
        <f>(C34*0.7)*0.025</f>
        <v>2367.545786269829</v>
      </c>
      <c r="O30" s="219">
        <f>N30/$H$68</f>
        <v>8.6723288874352704</v>
      </c>
      <c r="P30" s="515">
        <v>0</v>
      </c>
      <c r="R30" s="3"/>
    </row>
    <row r="31" spans="1:23" ht="15.75">
      <c r="A31" s="101" t="s">
        <v>556</v>
      </c>
      <c r="B31" s="167">
        <f t="shared" si="1"/>
        <v>7.1847378039456601E-3</v>
      </c>
      <c r="C31" s="536">
        <f>'Cost Details'!D94</f>
        <v>1047.896</v>
      </c>
      <c r="D31" s="336">
        <f t="shared" si="3"/>
        <v>3.8384468864468864</v>
      </c>
      <c r="E31" s="13"/>
      <c r="F31" s="41"/>
      <c r="G31" s="13"/>
      <c r="H31" s="6"/>
      <c r="I31" s="178"/>
      <c r="J31" s="319"/>
      <c r="L31" s="101" t="s">
        <v>191</v>
      </c>
      <c r="M31" s="13"/>
      <c r="N31" s="267">
        <f>IS!C24/IS!C6</f>
        <v>0</v>
      </c>
      <c r="O31" s="219">
        <f>N31/$H$68</f>
        <v>0</v>
      </c>
      <c r="P31" s="40"/>
      <c r="R31" s="3"/>
    </row>
    <row r="32" spans="1:23" ht="15.75">
      <c r="A32" s="101" t="s">
        <v>558</v>
      </c>
      <c r="B32" s="167">
        <f t="shared" si="1"/>
        <v>0</v>
      </c>
      <c r="C32" s="536">
        <v>0</v>
      </c>
      <c r="D32" s="336">
        <f t="shared" si="3"/>
        <v>0</v>
      </c>
      <c r="E32" s="13"/>
      <c r="F32" s="105" t="s">
        <v>14</v>
      </c>
      <c r="G32" s="106">
        <f>Debt!B19</f>
        <v>84092.230613083506</v>
      </c>
      <c r="H32" s="106"/>
      <c r="I32" s="178"/>
      <c r="J32" s="319"/>
      <c r="L32" s="101" t="s">
        <v>195</v>
      </c>
      <c r="M32" s="13"/>
      <c r="N32" s="267">
        <f>IS!C25/IS!C6</f>
        <v>0</v>
      </c>
      <c r="O32" s="219">
        <f>N32/$H$68</f>
        <v>0</v>
      </c>
      <c r="P32" s="40"/>
      <c r="Q32" s="66"/>
      <c r="R32" s="3"/>
    </row>
    <row r="33" spans="1:18" ht="16.5" thickBot="1">
      <c r="A33" s="101" t="s">
        <v>474</v>
      </c>
      <c r="B33" s="182">
        <f t="shared" si="1"/>
        <v>3.4585076548043193E-2</v>
      </c>
      <c r="C33" s="538">
        <f>'Cost Details'!D69</f>
        <v>5044.2430000000004</v>
      </c>
      <c r="D33" s="337">
        <f t="shared" si="3"/>
        <v>18.477080586080586</v>
      </c>
      <c r="E33" s="13"/>
      <c r="F33" s="105" t="s">
        <v>15</v>
      </c>
      <c r="G33" s="248">
        <f>'Revised Debt'!C9</f>
        <v>30</v>
      </c>
      <c r="H33" s="106"/>
      <c r="I33" s="178"/>
      <c r="J33" s="319"/>
      <c r="L33" s="103" t="s">
        <v>410</v>
      </c>
      <c r="M33" s="42"/>
      <c r="N33" s="270">
        <f>IS!C26/IS!C6</f>
        <v>0</v>
      </c>
      <c r="O33" s="220">
        <f>N33/$H$68</f>
        <v>0</v>
      </c>
      <c r="P33" s="81"/>
      <c r="R33" s="3"/>
    </row>
    <row r="34" spans="1:18" ht="16.5" thickBot="1">
      <c r="A34" s="101" t="s">
        <v>106</v>
      </c>
      <c r="B34" s="167">
        <f>SUM(B20:B33)</f>
        <v>0.92758363769932972</v>
      </c>
      <c r="C34" s="537">
        <f>SUM(C20:C33)</f>
        <v>135288.33064399022</v>
      </c>
      <c r="D34" s="336">
        <f>SUM(D20:D33)</f>
        <v>495.56165071058695</v>
      </c>
      <c r="E34" s="13"/>
      <c r="F34" s="105" t="s">
        <v>16</v>
      </c>
      <c r="G34" s="342">
        <v>44287</v>
      </c>
      <c r="H34" s="342"/>
      <c r="I34" s="178"/>
      <c r="J34" s="319"/>
      <c r="N34" s="197"/>
      <c r="R34" s="3"/>
    </row>
    <row r="35" spans="1:18" ht="15.75">
      <c r="A35" s="41"/>
      <c r="B35" s="13"/>
      <c r="C35" s="13"/>
      <c r="D35" s="40"/>
      <c r="E35" s="13"/>
      <c r="F35" s="105" t="s">
        <v>17</v>
      </c>
      <c r="G35" s="121">
        <f>Debt!E66</f>
        <v>10.335825363057994</v>
      </c>
      <c r="H35" s="371" t="str">
        <f>IF(H32,Debt!#REF!," ")</f>
        <v xml:space="preserve"> </v>
      </c>
      <c r="I35" s="178"/>
      <c r="J35" s="319"/>
      <c r="L35" s="93" t="s">
        <v>22</v>
      </c>
      <c r="M35" s="114"/>
      <c r="N35" s="255"/>
      <c r="O35" s="119"/>
      <c r="P35" s="39"/>
      <c r="R35" s="5"/>
    </row>
    <row r="36" spans="1:18" ht="15.75">
      <c r="A36" s="41"/>
      <c r="B36" s="13"/>
      <c r="C36" s="13"/>
      <c r="D36" s="40"/>
      <c r="E36" s="13"/>
      <c r="F36" s="105"/>
      <c r="G36" s="13"/>
      <c r="H36" s="13"/>
      <c r="I36" s="178"/>
      <c r="J36" s="319"/>
      <c r="L36" s="41"/>
      <c r="M36" s="168"/>
      <c r="N36" s="13"/>
      <c r="O36" s="13"/>
      <c r="P36" s="40"/>
      <c r="R36" s="5"/>
    </row>
    <row r="37" spans="1:18" ht="15.75">
      <c r="A37" s="98" t="s">
        <v>365</v>
      </c>
      <c r="B37" s="13"/>
      <c r="C37" s="539"/>
      <c r="D37" s="339"/>
      <c r="E37" s="13"/>
      <c r="F37" s="101" t="s">
        <v>18</v>
      </c>
      <c r="G37" s="249">
        <v>0.06</v>
      </c>
      <c r="H37" s="249">
        <f>G37</f>
        <v>0.06</v>
      </c>
      <c r="I37" s="178"/>
      <c r="J37" s="319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101" t="s">
        <v>508</v>
      </c>
      <c r="B38" s="167">
        <f t="shared" ref="B38:B51" si="4">C38/$C$60</f>
        <v>1.8623125392427831E-2</v>
      </c>
      <c r="C38" s="536">
        <f>'Cost Details'!D113</f>
        <v>2716.1880000000001</v>
      </c>
      <c r="D38" s="336">
        <f t="shared" ref="D38:D52" si="5">C38/$H$68</f>
        <v>9.9494065934065929</v>
      </c>
      <c r="E38" s="13"/>
      <c r="F38" s="101" t="s">
        <v>19</v>
      </c>
      <c r="G38" s="250">
        <v>0.01</v>
      </c>
      <c r="H38" s="250">
        <f>G38</f>
        <v>0.01</v>
      </c>
      <c r="I38" s="178"/>
      <c r="J38" s="319"/>
      <c r="L38" s="115" t="s">
        <v>26</v>
      </c>
      <c r="M38" s="13"/>
      <c r="N38" s="256"/>
      <c r="O38" s="256"/>
      <c r="P38" s="102"/>
      <c r="R38" s="13"/>
    </row>
    <row r="39" spans="1:18" ht="15.75">
      <c r="A39" s="98" t="s">
        <v>419</v>
      </c>
      <c r="B39" s="167">
        <f t="shared" si="4"/>
        <v>0</v>
      </c>
      <c r="C39" s="536">
        <v>0</v>
      </c>
      <c r="D39" s="336">
        <f t="shared" si="5"/>
        <v>0</v>
      </c>
      <c r="E39" s="13"/>
      <c r="F39" s="105" t="s">
        <v>310</v>
      </c>
      <c r="G39" s="107">
        <f>'Revised Debt'!C8</f>
        <v>7.0000000000000007E-2</v>
      </c>
      <c r="H39" s="107">
        <f>SUM(H37:H38)</f>
        <v>6.9999999999999993E-2</v>
      </c>
      <c r="I39" s="178"/>
      <c r="J39" s="319"/>
      <c r="L39" s="116" t="s">
        <v>27</v>
      </c>
      <c r="M39" s="13"/>
      <c r="N39" s="265">
        <v>15</v>
      </c>
      <c r="O39" s="257" t="s">
        <v>28</v>
      </c>
      <c r="P39" s="188">
        <v>0</v>
      </c>
      <c r="R39" s="3"/>
    </row>
    <row r="40" spans="1:18" ht="15.75">
      <c r="A40" s="98" t="s">
        <v>564</v>
      </c>
      <c r="B40" s="167">
        <f t="shared" si="4"/>
        <v>2.9996514818514684E-4</v>
      </c>
      <c r="C40" s="536">
        <f>'Cost Details'!D96</f>
        <v>43.75</v>
      </c>
      <c r="D40" s="336">
        <f t="shared" si="5"/>
        <v>0.16025641025641027</v>
      </c>
      <c r="E40" s="13"/>
      <c r="F40" s="101"/>
      <c r="G40" s="97"/>
      <c r="H40" s="97"/>
      <c r="I40" s="97"/>
      <c r="J40" s="186"/>
      <c r="L40" s="116" t="s">
        <v>238</v>
      </c>
      <c r="M40" s="13"/>
      <c r="N40" s="265">
        <v>5</v>
      </c>
      <c r="O40" s="257" t="s">
        <v>30</v>
      </c>
      <c r="P40" s="188">
        <v>0</v>
      </c>
      <c r="R40" s="3"/>
    </row>
    <row r="41" spans="1:18" ht="15.75">
      <c r="A41" s="98" t="s">
        <v>160</v>
      </c>
      <c r="B41" s="167">
        <f t="shared" si="4"/>
        <v>0</v>
      </c>
      <c r="C41" s="536">
        <v>0</v>
      </c>
      <c r="D41" s="336">
        <f t="shared" si="5"/>
        <v>0</v>
      </c>
      <c r="E41" s="13"/>
      <c r="F41" s="101" t="s">
        <v>122</v>
      </c>
      <c r="G41" s="248">
        <v>0</v>
      </c>
      <c r="H41" s="248">
        <v>0</v>
      </c>
      <c r="I41" s="97" t="s">
        <v>123</v>
      </c>
      <c r="J41" s="187"/>
      <c r="L41" s="116" t="s">
        <v>29</v>
      </c>
      <c r="M41" s="13"/>
      <c r="N41" s="265">
        <v>20</v>
      </c>
      <c r="O41" s="257" t="s">
        <v>30</v>
      </c>
      <c r="P41" s="188">
        <v>0</v>
      </c>
      <c r="R41" s="330"/>
    </row>
    <row r="42" spans="1:18" ht="15.75">
      <c r="A42" s="101" t="s">
        <v>417</v>
      </c>
      <c r="B42" s="167">
        <f t="shared" si="4"/>
        <v>0</v>
      </c>
      <c r="C42" s="536">
        <v>0</v>
      </c>
      <c r="D42" s="336">
        <f t="shared" si="5"/>
        <v>0</v>
      </c>
      <c r="E42" s="13"/>
      <c r="F42" s="101" t="s">
        <v>20</v>
      </c>
      <c r="G42" s="251">
        <v>0.02</v>
      </c>
      <c r="H42" s="97"/>
      <c r="I42" s="97"/>
      <c r="J42" s="187"/>
      <c r="L42" s="116"/>
      <c r="M42" s="13"/>
      <c r="N42" s="258"/>
      <c r="O42" s="258"/>
      <c r="P42" s="259"/>
      <c r="R42" s="221"/>
    </row>
    <row r="43" spans="1:18" ht="15.75">
      <c r="A43" s="98" t="s">
        <v>161</v>
      </c>
      <c r="B43" s="167">
        <f t="shared" si="4"/>
        <v>0</v>
      </c>
      <c r="C43" s="536">
        <v>0</v>
      </c>
      <c r="D43" s="336">
        <f t="shared" si="5"/>
        <v>0</v>
      </c>
      <c r="E43" s="13"/>
      <c r="F43" s="101" t="s">
        <v>21</v>
      </c>
      <c r="G43" s="251">
        <v>0</v>
      </c>
      <c r="H43" s="13"/>
      <c r="I43" s="13"/>
      <c r="J43" s="40"/>
      <c r="L43" s="115" t="s">
        <v>31</v>
      </c>
      <c r="M43" s="13"/>
      <c r="N43" s="258"/>
      <c r="O43" s="258"/>
      <c r="P43" s="189"/>
    </row>
    <row r="44" spans="1:18" ht="15.75">
      <c r="A44" s="98" t="s">
        <v>168</v>
      </c>
      <c r="B44" s="167">
        <f t="shared" si="4"/>
        <v>0</v>
      </c>
      <c r="C44" s="536">
        <v>0</v>
      </c>
      <c r="D44" s="336">
        <f t="shared" si="5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65">
        <v>30</v>
      </c>
      <c r="O44" s="257" t="s">
        <v>30</v>
      </c>
      <c r="P44" s="189">
        <v>0.1</v>
      </c>
    </row>
    <row r="45" spans="1:18" ht="15.75">
      <c r="A45" s="98" t="s">
        <v>162</v>
      </c>
      <c r="B45" s="167">
        <f t="shared" si="4"/>
        <v>0</v>
      </c>
      <c r="C45" s="536">
        <v>0</v>
      </c>
      <c r="D45" s="336">
        <f t="shared" si="5"/>
        <v>0</v>
      </c>
      <c r="E45" s="13"/>
      <c r="F45" s="343" t="s">
        <v>110</v>
      </c>
      <c r="G45" s="13"/>
      <c r="H45" s="13"/>
      <c r="I45" s="13"/>
      <c r="J45" s="40"/>
      <c r="L45" s="116" t="s">
        <v>238</v>
      </c>
      <c r="M45" s="13"/>
      <c r="N45" s="265">
        <v>5</v>
      </c>
      <c r="O45" s="257" t="s">
        <v>30</v>
      </c>
      <c r="P45" s="188">
        <v>0</v>
      </c>
    </row>
    <row r="46" spans="1:18" ht="16.5" thickBot="1">
      <c r="A46" s="98" t="s">
        <v>163</v>
      </c>
      <c r="B46" s="167">
        <f t="shared" si="4"/>
        <v>0</v>
      </c>
      <c r="C46" s="536">
        <v>0</v>
      </c>
      <c r="D46" s="336">
        <f t="shared" si="5"/>
        <v>0</v>
      </c>
      <c r="E46" s="13"/>
      <c r="F46" s="314" t="s">
        <v>84</v>
      </c>
      <c r="G46" s="247">
        <v>36617</v>
      </c>
      <c r="H46" s="13"/>
      <c r="I46" s="13"/>
      <c r="J46" s="40"/>
      <c r="L46" s="117" t="s">
        <v>29</v>
      </c>
      <c r="M46" s="42"/>
      <c r="N46" s="266">
        <v>20</v>
      </c>
      <c r="O46" s="260" t="s">
        <v>30</v>
      </c>
      <c r="P46" s="190">
        <v>0</v>
      </c>
    </row>
    <row r="47" spans="1:18" ht="16.5" thickBot="1">
      <c r="A47" s="98" t="s">
        <v>166</v>
      </c>
      <c r="B47" s="167">
        <f t="shared" si="4"/>
        <v>0</v>
      </c>
      <c r="C47" s="536">
        <v>0</v>
      </c>
      <c r="D47" s="336">
        <f t="shared" si="5"/>
        <v>0</v>
      </c>
      <c r="E47" s="13"/>
      <c r="F47" s="101" t="s">
        <v>12</v>
      </c>
      <c r="G47" s="252">
        <v>0</v>
      </c>
      <c r="H47" s="144">
        <f>G47*C11</f>
        <v>0</v>
      </c>
      <c r="I47" s="13"/>
      <c r="J47" s="40"/>
    </row>
    <row r="48" spans="1:18" ht="16.5" thickBot="1">
      <c r="A48" s="101" t="s">
        <v>203</v>
      </c>
      <c r="B48" s="167">
        <f t="shared" si="4"/>
        <v>2.5939393369435872E-2</v>
      </c>
      <c r="C48" s="537">
        <f>IDC!H34</f>
        <v>3783.2677121955494</v>
      </c>
      <c r="D48" s="336">
        <f t="shared" si="5"/>
        <v>13.858123487895785</v>
      </c>
      <c r="E48" s="64"/>
      <c r="F48" s="103" t="s">
        <v>13</v>
      </c>
      <c r="G48" s="263">
        <f>1-G47</f>
        <v>1</v>
      </c>
      <c r="H48" s="145">
        <f>G48*C11</f>
        <v>43755.08314685573</v>
      </c>
      <c r="I48" s="42"/>
      <c r="J48" s="81"/>
      <c r="L48" s="93" t="s">
        <v>366</v>
      </c>
      <c r="M48" s="114"/>
      <c r="N48" s="272"/>
      <c r="O48" s="273"/>
      <c r="P48" s="353"/>
    </row>
    <row r="49" spans="1:16" ht="16.5" thickBot="1">
      <c r="A49" s="101" t="s">
        <v>518</v>
      </c>
      <c r="B49" s="167">
        <f t="shared" si="4"/>
        <v>0</v>
      </c>
      <c r="C49" s="536">
        <v>0</v>
      </c>
      <c r="D49" s="336">
        <f t="shared" si="5"/>
        <v>0</v>
      </c>
      <c r="E49" s="43"/>
      <c r="L49" s="180"/>
      <c r="M49" s="175"/>
      <c r="N49" s="156"/>
      <c r="O49" s="6"/>
      <c r="P49" s="352"/>
    </row>
    <row r="50" spans="1:16" ht="15.75">
      <c r="A50" s="101" t="s">
        <v>259</v>
      </c>
      <c r="B50" s="167">
        <f t="shared" si="4"/>
        <v>8.5582957011683704E-3</v>
      </c>
      <c r="C50" s="537">
        <f>(C26+C25)*N55</f>
        <v>1248.2298000000001</v>
      </c>
      <c r="D50" s="336">
        <f t="shared" si="5"/>
        <v>4.5722703296703298</v>
      </c>
      <c r="E50" s="13"/>
      <c r="F50" s="93" t="s">
        <v>188</v>
      </c>
      <c r="G50" s="113"/>
      <c r="H50" s="119"/>
      <c r="I50" s="199"/>
      <c r="J50" s="39"/>
      <c r="L50" s="116" t="s">
        <v>126</v>
      </c>
      <c r="M50" s="6"/>
      <c r="N50" s="256">
        <v>0.35</v>
      </c>
      <c r="O50" s="6"/>
      <c r="P50" s="352"/>
    </row>
    <row r="51" spans="1:16" ht="15.75">
      <c r="A51" s="95" t="s">
        <v>169</v>
      </c>
      <c r="B51" s="182">
        <f t="shared" si="4"/>
        <v>1.8995582689453241E-2</v>
      </c>
      <c r="C51" s="538">
        <f>'Cost Details'!D117</f>
        <v>2770.511</v>
      </c>
      <c r="D51" s="337">
        <f t="shared" si="5"/>
        <v>10.148391941391941</v>
      </c>
      <c r="E51" s="84"/>
      <c r="F51" s="41"/>
      <c r="G51" s="13"/>
      <c r="H51" s="13"/>
      <c r="I51" s="110"/>
      <c r="J51" s="40"/>
      <c r="L51" s="116" t="s">
        <v>273</v>
      </c>
      <c r="M51" s="6"/>
      <c r="N51" s="254">
        <v>7.0000000000000007E-2</v>
      </c>
      <c r="O51" s="354" t="s">
        <v>220</v>
      </c>
      <c r="P51" s="352"/>
    </row>
    <row r="52" spans="1:16" ht="15.75">
      <c r="A52" s="101" t="s">
        <v>106</v>
      </c>
      <c r="B52" s="167">
        <f>SUM(B38:B51)</f>
        <v>7.2416362300670459E-2</v>
      </c>
      <c r="C52" s="537">
        <f>SUM(C38:C51)</f>
        <v>10561.946512195549</v>
      </c>
      <c r="D52" s="336">
        <f t="shared" si="5"/>
        <v>38.688448762621057</v>
      </c>
      <c r="E52" s="84"/>
      <c r="F52" s="104" t="s">
        <v>289</v>
      </c>
      <c r="G52" s="13"/>
      <c r="H52" s="13"/>
      <c r="I52" s="13"/>
      <c r="J52" s="40"/>
      <c r="L52" s="116" t="s">
        <v>240</v>
      </c>
      <c r="M52" s="6"/>
      <c r="N52" s="254">
        <v>0</v>
      </c>
      <c r="O52" s="354" t="s">
        <v>220</v>
      </c>
      <c r="P52" s="352"/>
    </row>
    <row r="53" spans="1:16" ht="15.75">
      <c r="A53" s="41"/>
      <c r="B53" s="13"/>
      <c r="C53" s="539"/>
      <c r="D53" s="40"/>
      <c r="E53" s="13"/>
      <c r="F53" s="101" t="s">
        <v>291</v>
      </c>
      <c r="G53" s="13"/>
      <c r="H53" s="246">
        <v>30</v>
      </c>
      <c r="I53" s="110"/>
      <c r="J53" s="40"/>
      <c r="L53" s="116" t="s">
        <v>196</v>
      </c>
      <c r="M53" s="6"/>
      <c r="N53" s="254">
        <v>0</v>
      </c>
      <c r="O53" s="354" t="s">
        <v>220</v>
      </c>
      <c r="P53" s="352"/>
    </row>
    <row r="54" spans="1:16" ht="15.75">
      <c r="A54" s="98" t="s">
        <v>100</v>
      </c>
      <c r="B54" s="13"/>
      <c r="C54" s="537"/>
      <c r="D54" s="338"/>
      <c r="E54" s="13"/>
      <c r="F54" s="101" t="s">
        <v>401</v>
      </c>
      <c r="G54" s="13"/>
      <c r="H54" s="561">
        <v>5.4923594838594729</v>
      </c>
      <c r="I54" s="13"/>
      <c r="J54" s="40"/>
      <c r="L54" s="116" t="s">
        <v>225</v>
      </c>
      <c r="M54" s="13"/>
      <c r="N54" s="254">
        <v>1.4999999999999999E-2</v>
      </c>
      <c r="O54" s="354" t="s">
        <v>220</v>
      </c>
      <c r="P54" s="40"/>
    </row>
    <row r="55" spans="1:16" ht="16.5" thickBot="1">
      <c r="A55" s="98" t="s">
        <v>164</v>
      </c>
      <c r="B55" s="167">
        <f>C55/$C$60</f>
        <v>0</v>
      </c>
      <c r="C55" s="536">
        <v>0</v>
      </c>
      <c r="D55" s="336">
        <f>C55/$H$68</f>
        <v>0</v>
      </c>
      <c r="E55" s="13"/>
      <c r="F55" s="41"/>
      <c r="G55" s="13"/>
      <c r="H55" s="13"/>
      <c r="I55" s="13"/>
      <c r="J55" s="40"/>
      <c r="L55" s="117" t="s">
        <v>260</v>
      </c>
      <c r="M55" s="42"/>
      <c r="N55" s="268">
        <v>0.05</v>
      </c>
      <c r="O55" s="355" t="s">
        <v>220</v>
      </c>
      <c r="P55" s="81"/>
    </row>
    <row r="56" spans="1:16" ht="15.75">
      <c r="A56" s="98" t="s">
        <v>165</v>
      </c>
      <c r="B56" s="167">
        <f>C56/$C$60</f>
        <v>0</v>
      </c>
      <c r="C56" s="536">
        <v>0</v>
      </c>
      <c r="D56" s="336">
        <f>C56/$H$68</f>
        <v>0</v>
      </c>
      <c r="E56" s="13"/>
      <c r="F56" s="104" t="s">
        <v>292</v>
      </c>
      <c r="G56" s="13"/>
      <c r="H56" s="13"/>
      <c r="I56" s="13"/>
      <c r="J56" s="40"/>
    </row>
    <row r="57" spans="1:16" ht="15.75">
      <c r="A57" s="104" t="s">
        <v>415</v>
      </c>
      <c r="B57" s="182">
        <f>C57/$C$60</f>
        <v>0</v>
      </c>
      <c r="C57" s="538">
        <v>0</v>
      </c>
      <c r="D57" s="336">
        <f>C57/$H$68</f>
        <v>0</v>
      </c>
      <c r="E57" s="13"/>
      <c r="F57" s="101" t="s">
        <v>291</v>
      </c>
      <c r="G57" s="13"/>
      <c r="H57" s="267">
        <f>H19-H53</f>
        <v>0</v>
      </c>
      <c r="I57" s="110"/>
      <c r="J57" s="40"/>
    </row>
    <row r="58" spans="1:16" ht="15.75">
      <c r="A58" s="101" t="s">
        <v>106</v>
      </c>
      <c r="B58" s="167">
        <f>SUM(B55:B57)</f>
        <v>0</v>
      </c>
      <c r="C58" s="540">
        <f>SUM(C55:C57)</f>
        <v>0</v>
      </c>
      <c r="D58" s="336">
        <f>C58/$H$68</f>
        <v>0</v>
      </c>
      <c r="E58" s="13"/>
      <c r="F58" s="101" t="s">
        <v>401</v>
      </c>
      <c r="G58" s="97"/>
      <c r="H58" s="153"/>
      <c r="I58" s="110"/>
      <c r="J58" s="40"/>
    </row>
    <row r="59" spans="1:16">
      <c r="A59" s="41"/>
      <c r="B59" s="13"/>
      <c r="C59" s="539"/>
      <c r="D59" s="339"/>
      <c r="E59" s="13"/>
      <c r="F59" s="41"/>
      <c r="G59" s="13"/>
      <c r="H59" s="13"/>
      <c r="I59" s="13"/>
      <c r="J59" s="40"/>
    </row>
    <row r="60" spans="1:16" ht="16.5" thickBot="1">
      <c r="A60" s="185" t="s">
        <v>101</v>
      </c>
      <c r="B60" s="181">
        <f>B58+B52+B34</f>
        <v>1.0000000000000002</v>
      </c>
      <c r="C60" s="541">
        <f>C58+C52+C34</f>
        <v>145850.27715618577</v>
      </c>
      <c r="D60" s="340">
        <f>C60/$H$68</f>
        <v>534.25009947320791</v>
      </c>
      <c r="E60" s="13"/>
      <c r="F60" s="101" t="s">
        <v>408</v>
      </c>
      <c r="G60" s="97"/>
      <c r="H60" s="153">
        <f>N17</f>
        <v>2.04</v>
      </c>
      <c r="I60" s="110"/>
      <c r="J60" s="40"/>
    </row>
    <row r="61" spans="1:16" ht="15.75">
      <c r="E61" s="13"/>
      <c r="F61" s="101"/>
      <c r="G61" s="13"/>
      <c r="H61" s="256"/>
      <c r="I61" s="110"/>
      <c r="J61" s="40"/>
    </row>
    <row r="62" spans="1:16" ht="16.5" thickBot="1">
      <c r="E62" s="13"/>
      <c r="F62" s="103" t="s">
        <v>412</v>
      </c>
      <c r="G62" s="42"/>
      <c r="H62" s="269">
        <f>H68*H72</f>
        <v>382200</v>
      </c>
      <c r="I62" s="200"/>
      <c r="J62" s="81"/>
    </row>
    <row r="63" spans="1:16" ht="13.5" thickBot="1">
      <c r="E63" s="13"/>
    </row>
    <row r="64" spans="1:16" ht="15.75">
      <c r="A64" s="94" t="s">
        <v>32</v>
      </c>
      <c r="B64" s="119"/>
      <c r="C64" s="199"/>
      <c r="D64" s="120"/>
      <c r="E64" s="13"/>
      <c r="F64" s="93" t="s">
        <v>5</v>
      </c>
      <c r="G64" s="198"/>
      <c r="H64" s="199"/>
      <c r="I64" s="38"/>
      <c r="J64" s="39"/>
    </row>
    <row r="65" spans="1:10" ht="15.75">
      <c r="A65" s="41"/>
      <c r="B65" s="13"/>
      <c r="C65" s="13"/>
      <c r="D65" s="40"/>
      <c r="E65" s="13"/>
      <c r="F65" s="180"/>
      <c r="G65" s="151"/>
      <c r="H65" s="110"/>
      <c r="I65" s="13"/>
      <c r="J65" s="40"/>
    </row>
    <row r="66" spans="1:10" ht="15.75">
      <c r="A66" s="331" t="s">
        <v>257</v>
      </c>
      <c r="B66" s="332"/>
      <c r="C66" s="333">
        <f>D60</f>
        <v>534.25009947320791</v>
      </c>
      <c r="D66" s="40"/>
      <c r="E66" s="13"/>
      <c r="F66" s="101" t="s">
        <v>124</v>
      </c>
      <c r="G66" s="13"/>
      <c r="H66" s="216">
        <f>(H12*H13)</f>
        <v>273</v>
      </c>
      <c r="I66" s="13"/>
      <c r="J66" s="40"/>
    </row>
    <row r="67" spans="1:10" ht="15.75">
      <c r="A67" s="508"/>
      <c r="B67" s="178"/>
      <c r="C67" s="178"/>
      <c r="D67" s="40"/>
      <c r="E67" s="13"/>
      <c r="F67" s="104" t="s">
        <v>89</v>
      </c>
      <c r="G67" s="13"/>
      <c r="H67" s="329">
        <v>0</v>
      </c>
      <c r="I67" s="13"/>
      <c r="J67" s="40"/>
    </row>
    <row r="68" spans="1:10" ht="15.75">
      <c r="A68" s="101"/>
      <c r="B68" s="97"/>
      <c r="C68" s="96" t="s">
        <v>34</v>
      </c>
      <c r="D68" s="170" t="s">
        <v>33</v>
      </c>
      <c r="E68" s="13"/>
      <c r="F68" s="118" t="s">
        <v>295</v>
      </c>
      <c r="G68" s="43"/>
      <c r="H68" s="348">
        <f>SUM(H66:H67)</f>
        <v>273</v>
      </c>
      <c r="I68" s="13"/>
      <c r="J68" s="40"/>
    </row>
    <row r="69" spans="1:10" ht="15.75">
      <c r="A69" s="104" t="s">
        <v>0</v>
      </c>
      <c r="B69" s="108"/>
      <c r="C69" s="109">
        <f>'Revised Debt'!C23</f>
        <v>1.6016620721643531</v>
      </c>
      <c r="D69" s="341">
        <f>'Revised Debt'!C24</f>
        <v>1.0223174116960834</v>
      </c>
      <c r="E69" s="13"/>
      <c r="F69" s="41"/>
      <c r="G69" s="13"/>
      <c r="H69" s="13"/>
      <c r="I69" s="13"/>
      <c r="J69" s="40"/>
    </row>
    <row r="70" spans="1:10" ht="15.75">
      <c r="A70" s="41"/>
      <c r="B70" s="97"/>
      <c r="C70" s="13"/>
      <c r="D70" s="40"/>
      <c r="E70" s="13"/>
      <c r="F70" s="101" t="s">
        <v>338</v>
      </c>
      <c r="G70" s="13"/>
      <c r="H70" s="244">
        <v>140</v>
      </c>
      <c r="I70" s="13"/>
      <c r="J70" s="40"/>
    </row>
    <row r="71" spans="1:10" ht="15.75">
      <c r="A71" s="104" t="s">
        <v>321</v>
      </c>
      <c r="B71" s="13"/>
      <c r="C71" s="586" t="s">
        <v>1</v>
      </c>
      <c r="D71" s="587" t="s">
        <v>542</v>
      </c>
      <c r="E71" s="13"/>
      <c r="F71" s="101" t="s">
        <v>253</v>
      </c>
      <c r="G71" s="13"/>
      <c r="H71" s="244">
        <v>400</v>
      </c>
      <c r="I71" s="13"/>
      <c r="J71" s="40"/>
    </row>
    <row r="72" spans="1:10" ht="16.5" thickBot="1">
      <c r="A72" s="101" t="str">
        <f>CONCATENATE("30 Yrs After-Tax Cashflow with ",H24*100,"% Initial Project Cost Residual Value")</f>
        <v>30 Yrs After-Tax Cashflow with 10% Initial Project Cost Residual Value</v>
      </c>
      <c r="B72" s="13"/>
      <c r="C72" s="591">
        <f>'Returns Analysis'!C53</f>
        <v>0.11093313097953797</v>
      </c>
      <c r="D72" s="597">
        <f>'Returns Analysis'!C54</f>
        <v>-5.0753052554292867E-14</v>
      </c>
      <c r="E72" s="13"/>
      <c r="F72" s="103" t="s">
        <v>167</v>
      </c>
      <c r="G72" s="42"/>
      <c r="H72" s="253">
        <v>1400</v>
      </c>
      <c r="I72" s="42"/>
      <c r="J72" s="81"/>
    </row>
    <row r="73" spans="1:10" ht="15.75">
      <c r="A73" s="101"/>
      <c r="B73" s="13"/>
      <c r="C73" s="146"/>
      <c r="D73" s="588"/>
    </row>
    <row r="74" spans="1:10" ht="15.75">
      <c r="A74" s="104" t="s">
        <v>86</v>
      </c>
      <c r="B74" s="96">
        <f>IS!C7</f>
        <v>2001</v>
      </c>
      <c r="C74" s="96">
        <f>IS!D7</f>
        <v>2002</v>
      </c>
      <c r="D74" s="170">
        <f>IS!E7</f>
        <v>2003</v>
      </c>
      <c r="E74" s="97"/>
    </row>
    <row r="75" spans="1:10" ht="15.75">
      <c r="A75" s="101" t="s">
        <v>97</v>
      </c>
      <c r="B75" s="111">
        <f>IS!C32</f>
        <v>8411.1006598125932</v>
      </c>
      <c r="C75" s="111">
        <f>IS!D32</f>
        <v>13763.923882853802</v>
      </c>
      <c r="D75" s="165">
        <f>IS!E32</f>
        <v>13738.933882853802</v>
      </c>
      <c r="E75" s="97"/>
    </row>
    <row r="76" spans="1:10" ht="15.75">
      <c r="A76" s="101" t="s">
        <v>98</v>
      </c>
      <c r="B76" s="111">
        <f>IS!C45</f>
        <v>336.15203082262667</v>
      </c>
      <c r="C76" s="111">
        <f>IS!D45</f>
        <v>703.46968056457058</v>
      </c>
      <c r="D76" s="165">
        <f>IS!E45</f>
        <v>737.29960841530533</v>
      </c>
      <c r="E76" s="13"/>
    </row>
    <row r="77" spans="1:10" ht="15.75">
      <c r="A77" s="101" t="s">
        <v>99</v>
      </c>
      <c r="B77" s="111">
        <f>'Returns Analysis'!C13</f>
        <v>4242.213571098283</v>
      </c>
      <c r="C77" s="111">
        <f>'Returns Analysis'!D13</f>
        <v>6692.9177666236556</v>
      </c>
      <c r="D77" s="165">
        <f>'Returns Analysis'!E13</f>
        <v>6748.8812535562192</v>
      </c>
      <c r="E77" s="13"/>
    </row>
    <row r="78" spans="1:10" ht="16.5" thickBot="1">
      <c r="A78" s="103" t="s">
        <v>351</v>
      </c>
      <c r="B78" s="112">
        <f>'Returns Analysis'!C21</f>
        <v>3161.3926507703318</v>
      </c>
      <c r="C78" s="112">
        <f>'Returns Analysis'!D21</f>
        <v>5536.4393818727476</v>
      </c>
      <c r="D78" s="191">
        <f>'Returns Analysis'!E21</f>
        <v>5511.4493818727478</v>
      </c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8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0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124"/>
  <sheetViews>
    <sheetView zoomScale="75" workbookViewId="0">
      <selection activeCell="E34" sqref="E34"/>
    </sheetView>
  </sheetViews>
  <sheetFormatPr defaultRowHeight="12.75"/>
  <cols>
    <col min="1" max="1" width="3.42578125" customWidth="1"/>
    <col min="2" max="2" width="25.5703125" customWidth="1"/>
    <col min="3" max="3" width="1" customWidth="1"/>
    <col min="4" max="4" width="27.28515625" customWidth="1"/>
    <col min="5" max="5" width="13.7109375" customWidth="1"/>
  </cols>
  <sheetData>
    <row r="2" spans="2:4">
      <c r="D2" s="517" t="s">
        <v>559</v>
      </c>
    </row>
    <row r="4" spans="2:4">
      <c r="B4" t="s">
        <v>325</v>
      </c>
      <c r="D4" s="71">
        <f>Assumptions!H12</f>
        <v>6</v>
      </c>
    </row>
    <row r="5" spans="2:4">
      <c r="B5" t="s">
        <v>430</v>
      </c>
      <c r="D5">
        <f>Assumptions!H68</f>
        <v>273</v>
      </c>
    </row>
    <row r="7" spans="2:4">
      <c r="D7" s="529" t="s">
        <v>461</v>
      </c>
    </row>
    <row r="8" spans="2:4">
      <c r="B8" s="526" t="s">
        <v>438</v>
      </c>
    </row>
    <row r="9" spans="2:4">
      <c r="B9" t="s">
        <v>426</v>
      </c>
      <c r="D9" s="527">
        <v>720.80399999999997</v>
      </c>
    </row>
    <row r="10" spans="2:4">
      <c r="B10" t="s">
        <v>427</v>
      </c>
      <c r="D10" s="527">
        <v>947.89099999999996</v>
      </c>
    </row>
    <row r="11" spans="2:4">
      <c r="B11" t="s">
        <v>428</v>
      </c>
      <c r="D11" s="528">
        <v>218.756</v>
      </c>
    </row>
    <row r="12" spans="2:4">
      <c r="D12" s="535">
        <f>SUM(D9:D11)</f>
        <v>1887.451</v>
      </c>
    </row>
    <row r="14" spans="2:4">
      <c r="B14" s="526" t="s">
        <v>437</v>
      </c>
    </row>
    <row r="15" spans="2:4">
      <c r="B15" t="s">
        <v>429</v>
      </c>
      <c r="D15" s="527">
        <v>635.65899999999999</v>
      </c>
    </row>
    <row r="16" spans="2:4">
      <c r="B16" t="s">
        <v>431</v>
      </c>
      <c r="D16" s="527">
        <v>254.50399999999999</v>
      </c>
    </row>
    <row r="17" spans="2:4">
      <c r="B17" t="s">
        <v>555</v>
      </c>
      <c r="D17" s="527">
        <v>262.37099999999998</v>
      </c>
    </row>
    <row r="18" spans="2:4">
      <c r="B18" t="s">
        <v>432</v>
      </c>
      <c r="D18" s="527">
        <v>893.72</v>
      </c>
    </row>
    <row r="19" spans="2:4">
      <c r="B19" t="s">
        <v>561</v>
      </c>
      <c r="D19" s="527">
        <v>562.5</v>
      </c>
    </row>
    <row r="20" spans="2:4">
      <c r="B20" t="s">
        <v>562</v>
      </c>
      <c r="D20" s="528">
        <v>6.75</v>
      </c>
    </row>
    <row r="21" spans="2:4">
      <c r="D21" s="530">
        <f>SUM(D15:D20)</f>
        <v>2615.5039999999999</v>
      </c>
    </row>
    <row r="22" spans="2:4">
      <c r="D22" s="530"/>
    </row>
    <row r="23" spans="2:4">
      <c r="B23" s="526" t="s">
        <v>435</v>
      </c>
    </row>
    <row r="24" spans="2:4">
      <c r="B24" t="s">
        <v>433</v>
      </c>
      <c r="D24" s="530">
        <v>713.24300000000005</v>
      </c>
    </row>
    <row r="26" spans="2:4">
      <c r="B26" s="526" t="s">
        <v>436</v>
      </c>
    </row>
    <row r="27" spans="2:4">
      <c r="B27" s="526" t="s">
        <v>434</v>
      </c>
    </row>
    <row r="28" spans="2:4">
      <c r="B28" t="s">
        <v>439</v>
      </c>
      <c r="D28" s="527">
        <v>86040</v>
      </c>
    </row>
    <row r="29" spans="2:4">
      <c r="B29" t="s">
        <v>425</v>
      </c>
      <c r="D29" s="527">
        <v>600</v>
      </c>
    </row>
    <row r="30" spans="2:4">
      <c r="B30" t="s">
        <v>440</v>
      </c>
      <c r="D30" s="527">
        <v>0</v>
      </c>
    </row>
    <row r="31" spans="2:4">
      <c r="B31" t="s">
        <v>441</v>
      </c>
      <c r="D31" s="527">
        <v>1680</v>
      </c>
    </row>
    <row r="32" spans="2:4">
      <c r="B32" t="s">
        <v>557</v>
      </c>
      <c r="D32" s="527">
        <v>0</v>
      </c>
    </row>
    <row r="33" spans="2:4" ht="15">
      <c r="B33" t="s">
        <v>442</v>
      </c>
      <c r="D33" s="532">
        <v>0</v>
      </c>
    </row>
    <row r="34" spans="2:4">
      <c r="D34" s="531">
        <f>SUM(D28:D33)</f>
        <v>88320</v>
      </c>
    </row>
    <row r="35" spans="2:4">
      <c r="D35" s="531"/>
    </row>
    <row r="36" spans="2:4">
      <c r="B36" s="526" t="s">
        <v>443</v>
      </c>
    </row>
    <row r="37" spans="2:4">
      <c r="B37" t="s">
        <v>444</v>
      </c>
      <c r="D37" s="527">
        <v>393.75</v>
      </c>
    </row>
    <row r="38" spans="2:4">
      <c r="B38" t="s">
        <v>445</v>
      </c>
      <c r="D38" s="527">
        <v>384.42899999999997</v>
      </c>
    </row>
    <row r="39" spans="2:4">
      <c r="B39" t="s">
        <v>446</v>
      </c>
      <c r="D39" s="527">
        <v>225</v>
      </c>
    </row>
    <row r="40" spans="2:4">
      <c r="B40" t="s">
        <v>447</v>
      </c>
      <c r="D40" s="527">
        <v>16.794</v>
      </c>
    </row>
    <row r="41" spans="2:4">
      <c r="B41" s="526" t="s">
        <v>448</v>
      </c>
      <c r="D41" s="527">
        <v>2154</v>
      </c>
    </row>
    <row r="42" spans="2:4">
      <c r="B42" s="526" t="s">
        <v>449</v>
      </c>
      <c r="D42" s="527">
        <v>841.03200000000004</v>
      </c>
    </row>
    <row r="43" spans="2:4">
      <c r="B43" t="s">
        <v>450</v>
      </c>
      <c r="D43" s="527">
        <v>94.841999999999999</v>
      </c>
    </row>
    <row r="44" spans="2:4">
      <c r="B44" t="s">
        <v>451</v>
      </c>
      <c r="D44" s="527">
        <v>94.167000000000002</v>
      </c>
    </row>
    <row r="45" spans="2:4">
      <c r="B45" t="s">
        <v>452</v>
      </c>
      <c r="D45" s="527">
        <v>185.63399999999999</v>
      </c>
    </row>
    <row r="46" spans="2:4">
      <c r="B46" t="s">
        <v>453</v>
      </c>
      <c r="D46" s="527">
        <v>1260.048</v>
      </c>
    </row>
    <row r="47" spans="2:4">
      <c r="B47" t="s">
        <v>454</v>
      </c>
      <c r="D47" s="527">
        <v>326.62</v>
      </c>
    </row>
    <row r="48" spans="2:4">
      <c r="B48" t="s">
        <v>455</v>
      </c>
      <c r="D48" s="527">
        <v>46.244999999999997</v>
      </c>
    </row>
    <row r="49" spans="2:4">
      <c r="B49" t="s">
        <v>456</v>
      </c>
      <c r="D49" s="527">
        <v>305.55</v>
      </c>
    </row>
    <row r="50" spans="2:4">
      <c r="B50" t="s">
        <v>457</v>
      </c>
      <c r="D50" s="527">
        <v>25.974</v>
      </c>
    </row>
    <row r="51" spans="2:4">
      <c r="B51" t="s">
        <v>458</v>
      </c>
      <c r="D51" s="527">
        <v>109.94</v>
      </c>
    </row>
    <row r="52" spans="2:4">
      <c r="B52" t="s">
        <v>459</v>
      </c>
      <c r="D52" s="527">
        <v>0</v>
      </c>
    </row>
    <row r="53" spans="2:4">
      <c r="B53" t="s">
        <v>460</v>
      </c>
      <c r="D53" s="527">
        <v>68.875</v>
      </c>
    </row>
    <row r="54" spans="2:4">
      <c r="B54" s="526" t="s">
        <v>462</v>
      </c>
      <c r="D54" s="527">
        <v>271.66500000000002</v>
      </c>
    </row>
    <row r="55" spans="2:4">
      <c r="B55" s="526" t="s">
        <v>463</v>
      </c>
      <c r="D55" s="527">
        <v>0</v>
      </c>
    </row>
    <row r="56" spans="2:4">
      <c r="B56" t="s">
        <v>464</v>
      </c>
      <c r="D56" s="527">
        <v>0</v>
      </c>
    </row>
    <row r="57" spans="2:4">
      <c r="B57" t="s">
        <v>465</v>
      </c>
      <c r="D57" s="527">
        <v>0</v>
      </c>
    </row>
    <row r="58" spans="2:4">
      <c r="B58" s="526" t="s">
        <v>320</v>
      </c>
      <c r="D58" s="527">
        <v>2120</v>
      </c>
    </row>
    <row r="59" spans="2:4">
      <c r="B59" t="s">
        <v>466</v>
      </c>
      <c r="D59" s="527">
        <v>168</v>
      </c>
    </row>
    <row r="60" spans="2:4">
      <c r="B60" t="s">
        <v>467</v>
      </c>
      <c r="D60" s="527">
        <v>4600</v>
      </c>
    </row>
    <row r="61" spans="2:4">
      <c r="B61" t="s">
        <v>468</v>
      </c>
      <c r="D61" s="527">
        <v>548.1</v>
      </c>
    </row>
    <row r="62" spans="2:4">
      <c r="B62" t="s">
        <v>469</v>
      </c>
      <c r="D62" s="527">
        <v>82.35</v>
      </c>
    </row>
    <row r="63" spans="2:4">
      <c r="B63" t="s">
        <v>470</v>
      </c>
      <c r="D63" s="527">
        <v>364.75</v>
      </c>
    </row>
    <row r="64" spans="2:4">
      <c r="B64" s="526" t="s">
        <v>471</v>
      </c>
      <c r="D64" s="527">
        <v>2250</v>
      </c>
    </row>
    <row r="65" spans="2:4">
      <c r="B65" t="s">
        <v>472</v>
      </c>
      <c r="D65" s="527">
        <v>532.5</v>
      </c>
    </row>
    <row r="66" spans="2:4" ht="15">
      <c r="B66" t="s">
        <v>473</v>
      </c>
      <c r="D66" s="532">
        <v>566.54399999999998</v>
      </c>
    </row>
    <row r="67" spans="2:4">
      <c r="D67" s="531">
        <f>SUM(D37:D66)</f>
        <v>18036.809000000001</v>
      </c>
    </row>
    <row r="68" spans="2:4">
      <c r="D68" s="533"/>
    </row>
    <row r="69" spans="2:4">
      <c r="B69" t="s">
        <v>474</v>
      </c>
      <c r="D69" s="530">
        <v>5044.2430000000004</v>
      </c>
    </row>
    <row r="71" spans="2:4">
      <c r="B71" s="526" t="s">
        <v>475</v>
      </c>
    </row>
    <row r="72" spans="2:4">
      <c r="B72" t="s">
        <v>476</v>
      </c>
      <c r="D72" s="527">
        <v>910.904</v>
      </c>
    </row>
    <row r="73" spans="2:4">
      <c r="B73" t="s">
        <v>477</v>
      </c>
      <c r="D73" s="527">
        <v>657.63</v>
      </c>
    </row>
    <row r="74" spans="2:4">
      <c r="B74" t="s">
        <v>478</v>
      </c>
      <c r="D74" s="527">
        <v>445.017</v>
      </c>
    </row>
    <row r="75" spans="2:4">
      <c r="B75" t="s">
        <v>479</v>
      </c>
      <c r="D75" s="527">
        <v>1129.472</v>
      </c>
    </row>
    <row r="76" spans="2:4">
      <c r="B76" t="s">
        <v>480</v>
      </c>
      <c r="D76" s="527">
        <v>58.075000000000003</v>
      </c>
    </row>
    <row r="77" spans="2:4">
      <c r="B77" t="s">
        <v>481</v>
      </c>
      <c r="D77" s="527">
        <v>62.726999999999997</v>
      </c>
    </row>
    <row r="78" spans="2:4">
      <c r="B78" t="s">
        <v>482</v>
      </c>
      <c r="D78" s="527">
        <v>3.8140000000000001</v>
      </c>
    </row>
    <row r="79" spans="2:4">
      <c r="B79" t="s">
        <v>483</v>
      </c>
      <c r="D79" s="527">
        <v>157.55000000000001</v>
      </c>
    </row>
    <row r="80" spans="2:4">
      <c r="B80" t="s">
        <v>484</v>
      </c>
      <c r="D80" s="527">
        <v>1074.5719999999999</v>
      </c>
    </row>
    <row r="81" spans="2:4">
      <c r="B81" t="s">
        <v>485</v>
      </c>
      <c r="D81" s="527">
        <v>1086.6849999999999</v>
      </c>
    </row>
    <row r="82" spans="2:4">
      <c r="B82" t="s">
        <v>486</v>
      </c>
      <c r="D82" s="527">
        <v>201.61600000000001</v>
      </c>
    </row>
    <row r="83" spans="2:4">
      <c r="B83" t="s">
        <v>490</v>
      </c>
      <c r="D83" s="527">
        <v>205.50899999999999</v>
      </c>
    </row>
    <row r="84" spans="2:4">
      <c r="B84" t="s">
        <v>487</v>
      </c>
      <c r="D84" s="527">
        <v>26.271999999999998</v>
      </c>
    </row>
    <row r="85" spans="2:4">
      <c r="B85" t="s">
        <v>488</v>
      </c>
      <c r="D85" s="534">
        <v>907.94399999999996</v>
      </c>
    </row>
    <row r="86" spans="2:4">
      <c r="D86" s="530">
        <f>SUM(D72:D85)</f>
        <v>6927.7870000000003</v>
      </c>
    </row>
    <row r="88" spans="2:4">
      <c r="B88" s="526" t="s">
        <v>489</v>
      </c>
    </row>
    <row r="89" spans="2:4">
      <c r="B89" t="s">
        <v>491</v>
      </c>
      <c r="D89" s="527">
        <v>759.52800000000002</v>
      </c>
    </row>
    <row r="90" spans="2:4">
      <c r="B90" t="s">
        <v>492</v>
      </c>
      <c r="D90" s="527">
        <v>12.5</v>
      </c>
    </row>
    <row r="91" spans="2:4">
      <c r="B91" t="s">
        <v>493</v>
      </c>
      <c r="D91" s="527">
        <v>123.25</v>
      </c>
    </row>
    <row r="92" spans="2:4">
      <c r="B92" t="s">
        <v>494</v>
      </c>
      <c r="D92" s="527">
        <v>40.6</v>
      </c>
    </row>
    <row r="93" spans="2:4" ht="15">
      <c r="B93" t="s">
        <v>495</v>
      </c>
      <c r="D93" s="532">
        <v>112.018</v>
      </c>
    </row>
    <row r="94" spans="2:4">
      <c r="D94" s="530">
        <f>SUM(D89:D93)</f>
        <v>1047.896</v>
      </c>
    </row>
    <row r="96" spans="2:4">
      <c r="B96" s="526" t="s">
        <v>496</v>
      </c>
      <c r="D96" s="530">
        <v>43.75</v>
      </c>
    </row>
    <row r="98" spans="2:4">
      <c r="B98" s="526" t="s">
        <v>497</v>
      </c>
    </row>
    <row r="99" spans="2:4">
      <c r="B99" t="s">
        <v>498</v>
      </c>
      <c r="D99" s="527">
        <v>0</v>
      </c>
    </row>
    <row r="100" spans="2:4">
      <c r="B100" t="s">
        <v>499</v>
      </c>
      <c r="D100" s="527">
        <v>0</v>
      </c>
    </row>
    <row r="101" spans="2:4">
      <c r="B101" t="s">
        <v>500</v>
      </c>
      <c r="D101" s="527">
        <v>0</v>
      </c>
    </row>
    <row r="102" spans="2:4">
      <c r="B102" t="s">
        <v>501</v>
      </c>
      <c r="D102" s="527">
        <v>172.7</v>
      </c>
    </row>
    <row r="103" spans="2:4">
      <c r="B103" t="s">
        <v>502</v>
      </c>
      <c r="D103" s="527">
        <v>7500</v>
      </c>
    </row>
    <row r="104" spans="2:4">
      <c r="B104" t="s">
        <v>503</v>
      </c>
      <c r="D104" s="527">
        <v>1500</v>
      </c>
    </row>
    <row r="105" spans="2:4">
      <c r="B105" t="s">
        <v>504</v>
      </c>
      <c r="D105" s="527">
        <v>1400</v>
      </c>
    </row>
    <row r="106" spans="2:4">
      <c r="B106" t="s">
        <v>505</v>
      </c>
      <c r="D106" s="527">
        <v>600</v>
      </c>
    </row>
    <row r="107" spans="2:4" ht="15">
      <c r="B107" t="s">
        <v>506</v>
      </c>
      <c r="D107" s="532">
        <v>0</v>
      </c>
    </row>
    <row r="108" spans="2:4">
      <c r="D108" s="531">
        <f>SUM(D99:D107)</f>
        <v>11172.7</v>
      </c>
    </row>
    <row r="111" spans="2:4">
      <c r="B111" s="526" t="s">
        <v>507</v>
      </c>
      <c r="D111" s="531">
        <f>D108+D96+D86+D69+D67+D34+D24+D21+D12</f>
        <v>134761.48699999999</v>
      </c>
    </row>
    <row r="112" spans="2:4">
      <c r="B112" s="526"/>
    </row>
    <row r="113" spans="2:4">
      <c r="B113" s="526" t="s">
        <v>508</v>
      </c>
      <c r="D113" s="530">
        <v>2716.1880000000001</v>
      </c>
    </row>
    <row r="115" spans="2:4">
      <c r="B115" s="526" t="s">
        <v>509</v>
      </c>
      <c r="D115" s="530">
        <f>D113+D111</f>
        <v>137477.67499999999</v>
      </c>
    </row>
    <row r="117" spans="2:4">
      <c r="B117" t="s">
        <v>169</v>
      </c>
      <c r="D117" s="527">
        <v>2770.511</v>
      </c>
    </row>
    <row r="118" spans="2:4" ht="15">
      <c r="B118" t="s">
        <v>510</v>
      </c>
      <c r="D118" s="532">
        <v>8311.5339999999997</v>
      </c>
    </row>
    <row r="119" spans="2:4">
      <c r="D119" s="531">
        <f>SUM(D117:D118)</f>
        <v>11082.045</v>
      </c>
    </row>
    <row r="121" spans="2:4">
      <c r="B121" t="s">
        <v>511</v>
      </c>
      <c r="D121" s="530">
        <f>D119+D115</f>
        <v>148559.72</v>
      </c>
    </row>
    <row r="124" spans="2:4" ht="15.75">
      <c r="B124" s="585"/>
    </row>
  </sheetData>
  <pageMargins left="0.75" right="0.75" top="1" bottom="1" header="0.5" footer="0.5"/>
  <pageSetup scale="84" fitToHeight="2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9" zoomScale="75" zoomScaleNormal="75" workbookViewId="0">
      <selection activeCell="D21" sqref="D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New Orleans, Louisiana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387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09">
        <f>(Assumptions!H18/12)</f>
        <v>0.66666666666666663</v>
      </c>
      <c r="E7" s="209">
        <f>D7+1</f>
        <v>1.6666666666666665</v>
      </c>
      <c r="F7" s="209">
        <f t="shared" ref="F7:Y7" si="0">E7+1</f>
        <v>2.6666666666666665</v>
      </c>
      <c r="G7" s="209">
        <f t="shared" si="0"/>
        <v>3.6666666666666665</v>
      </c>
      <c r="H7" s="209">
        <f t="shared" si="0"/>
        <v>4.6666666666666661</v>
      </c>
      <c r="I7" s="209">
        <f t="shared" si="0"/>
        <v>5.6666666666666661</v>
      </c>
      <c r="J7" s="209">
        <f t="shared" si="0"/>
        <v>6.6666666666666661</v>
      </c>
      <c r="K7" s="209">
        <f t="shared" si="0"/>
        <v>7.6666666666666661</v>
      </c>
      <c r="L7" s="209">
        <f t="shared" si="0"/>
        <v>8.6666666666666661</v>
      </c>
      <c r="M7" s="209">
        <f t="shared" si="0"/>
        <v>9.6666666666666661</v>
      </c>
      <c r="N7" s="209">
        <f t="shared" si="0"/>
        <v>10.666666666666666</v>
      </c>
      <c r="O7" s="209">
        <f t="shared" si="0"/>
        <v>11.666666666666666</v>
      </c>
      <c r="P7" s="209">
        <f t="shared" si="0"/>
        <v>12.666666666666666</v>
      </c>
      <c r="Q7" s="209">
        <f t="shared" si="0"/>
        <v>13.666666666666666</v>
      </c>
      <c r="R7" s="209">
        <f t="shared" si="0"/>
        <v>14.666666666666666</v>
      </c>
      <c r="S7" s="209">
        <f t="shared" si="0"/>
        <v>15.666666666666666</v>
      </c>
      <c r="T7" s="209">
        <f t="shared" si="0"/>
        <v>16.666666666666664</v>
      </c>
      <c r="U7" s="209">
        <f t="shared" si="0"/>
        <v>17.666666666666664</v>
      </c>
      <c r="V7" s="209">
        <f t="shared" si="0"/>
        <v>18.666666666666664</v>
      </c>
      <c r="W7" s="209">
        <f t="shared" si="0"/>
        <v>19.666666666666664</v>
      </c>
      <c r="X7" s="209">
        <f t="shared" si="0"/>
        <v>20.666666666666664</v>
      </c>
      <c r="Y7" s="209">
        <f t="shared" si="0"/>
        <v>21.666666666666664</v>
      </c>
      <c r="Z7" s="209">
        <f t="shared" ref="Z7:AG7" si="1">Y7+1</f>
        <v>22.666666666666664</v>
      </c>
      <c r="AA7" s="209">
        <f t="shared" si="1"/>
        <v>23.666666666666664</v>
      </c>
      <c r="AB7" s="209">
        <f t="shared" si="1"/>
        <v>24.666666666666664</v>
      </c>
      <c r="AC7" s="209">
        <f t="shared" si="1"/>
        <v>25.666666666666664</v>
      </c>
      <c r="AD7" s="209">
        <f t="shared" si="1"/>
        <v>26.666666666666664</v>
      </c>
      <c r="AE7" s="209">
        <f t="shared" si="1"/>
        <v>27.666666666666664</v>
      </c>
      <c r="AF7" s="209">
        <f t="shared" si="1"/>
        <v>28.666666666666664</v>
      </c>
      <c r="AG7" s="209">
        <f t="shared" si="1"/>
        <v>29.666666666666664</v>
      </c>
      <c r="AH7" s="209">
        <f>AG7+1</f>
        <v>30.666666666666664</v>
      </c>
    </row>
    <row r="8" spans="1:63" ht="16.5" thickBot="1">
      <c r="B8" s="206"/>
      <c r="C8" s="206"/>
      <c r="D8" s="500">
        <f>YEAR(Assumptions!H17)</f>
        <v>2001</v>
      </c>
      <c r="E8" s="500">
        <f t="shared" ref="E8:X8" si="2">D8+1</f>
        <v>2002</v>
      </c>
      <c r="F8" s="500">
        <f t="shared" si="2"/>
        <v>2003</v>
      </c>
      <c r="G8" s="500">
        <f t="shared" si="2"/>
        <v>2004</v>
      </c>
      <c r="H8" s="500">
        <f t="shared" si="2"/>
        <v>2005</v>
      </c>
      <c r="I8" s="500">
        <f t="shared" si="2"/>
        <v>2006</v>
      </c>
      <c r="J8" s="500">
        <f t="shared" si="2"/>
        <v>2007</v>
      </c>
      <c r="K8" s="500">
        <f t="shared" si="2"/>
        <v>2008</v>
      </c>
      <c r="L8" s="500">
        <f t="shared" si="2"/>
        <v>2009</v>
      </c>
      <c r="M8" s="500">
        <f t="shared" si="2"/>
        <v>2010</v>
      </c>
      <c r="N8" s="500">
        <f t="shared" si="2"/>
        <v>2011</v>
      </c>
      <c r="O8" s="500">
        <f t="shared" si="2"/>
        <v>2012</v>
      </c>
      <c r="P8" s="500">
        <f t="shared" si="2"/>
        <v>2013</v>
      </c>
      <c r="Q8" s="500">
        <f t="shared" si="2"/>
        <v>2014</v>
      </c>
      <c r="R8" s="500">
        <f t="shared" si="2"/>
        <v>2015</v>
      </c>
      <c r="S8" s="500">
        <f t="shared" si="2"/>
        <v>2016</v>
      </c>
      <c r="T8" s="500">
        <f t="shared" si="2"/>
        <v>2017</v>
      </c>
      <c r="U8" s="500">
        <f t="shared" si="2"/>
        <v>2018</v>
      </c>
      <c r="V8" s="500">
        <f t="shared" si="2"/>
        <v>2019</v>
      </c>
      <c r="W8" s="500">
        <f t="shared" si="2"/>
        <v>2020</v>
      </c>
      <c r="X8" s="500">
        <f t="shared" si="2"/>
        <v>2021</v>
      </c>
      <c r="Y8" s="500">
        <f>X8+1</f>
        <v>2022</v>
      </c>
      <c r="Z8" s="500">
        <f t="shared" ref="Z8:AG8" si="3">Y8+1</f>
        <v>2023</v>
      </c>
      <c r="AA8" s="500">
        <f t="shared" si="3"/>
        <v>2024</v>
      </c>
      <c r="AB8" s="500">
        <f t="shared" si="3"/>
        <v>2025</v>
      </c>
      <c r="AC8" s="500">
        <f t="shared" si="3"/>
        <v>2026</v>
      </c>
      <c r="AD8" s="500">
        <f t="shared" si="3"/>
        <v>2027</v>
      </c>
      <c r="AE8" s="500">
        <f t="shared" si="3"/>
        <v>2028</v>
      </c>
      <c r="AF8" s="500">
        <f t="shared" si="3"/>
        <v>2029</v>
      </c>
      <c r="AG8" s="500">
        <f t="shared" si="3"/>
        <v>2030</v>
      </c>
      <c r="AH8" s="500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77" t="s">
        <v>400</v>
      </c>
      <c r="C10" s="13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7"/>
      <c r="AB10" s="347"/>
      <c r="AC10" s="347"/>
      <c r="AD10" s="347"/>
      <c r="AE10" s="347"/>
      <c r="AF10" s="347"/>
      <c r="AG10" s="347"/>
      <c r="AH10" s="34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8"/>
      <c r="C11" s="13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/>
      <c r="V11" s="347"/>
      <c r="W11" s="347"/>
      <c r="X11" s="347"/>
      <c r="Y11" s="347"/>
      <c r="Z11" s="347"/>
      <c r="AA11" s="347"/>
      <c r="AB11" s="347"/>
      <c r="AC11" s="347"/>
      <c r="AD11" s="347"/>
      <c r="AE11" s="347"/>
      <c r="AF11" s="347"/>
      <c r="AG11" s="347"/>
      <c r="AH11" s="34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4" t="s">
        <v>290</v>
      </c>
      <c r="C12" s="13"/>
      <c r="D12" s="479">
        <f>Assumptions!$H$54</f>
        <v>5.4923594838594729</v>
      </c>
      <c r="E12" s="479">
        <f>Assumptions!$H$54</f>
        <v>5.4923594838594729</v>
      </c>
      <c r="F12" s="479">
        <f>Assumptions!$H$54</f>
        <v>5.4923594838594729</v>
      </c>
      <c r="G12" s="479">
        <f>Assumptions!$H$54</f>
        <v>5.4923594838594729</v>
      </c>
      <c r="H12" s="479">
        <f>Assumptions!$H$54</f>
        <v>5.4923594838594729</v>
      </c>
      <c r="I12" s="479">
        <f>Assumptions!$H$54</f>
        <v>5.4923594838594729</v>
      </c>
      <c r="J12" s="479">
        <f>Assumptions!$H$54</f>
        <v>5.4923594838594729</v>
      </c>
      <c r="K12" s="479">
        <f>Assumptions!$H$54</f>
        <v>5.4923594838594729</v>
      </c>
      <c r="L12" s="479">
        <f>Assumptions!$H$54</f>
        <v>5.4923594838594729</v>
      </c>
      <c r="M12" s="479">
        <f>Assumptions!$H$54</f>
        <v>5.4923594838594729</v>
      </c>
      <c r="N12" s="479">
        <f>Assumptions!$H$54</f>
        <v>5.4923594838594729</v>
      </c>
      <c r="O12" s="479">
        <f>Assumptions!$H$54</f>
        <v>5.4923594838594729</v>
      </c>
      <c r="P12" s="479">
        <f>Assumptions!$H$54</f>
        <v>5.4923594838594729</v>
      </c>
      <c r="Q12" s="479">
        <f>Assumptions!$H$54</f>
        <v>5.4923594838594729</v>
      </c>
      <c r="R12" s="479">
        <f>Assumptions!$H$54</f>
        <v>5.4923594838594729</v>
      </c>
      <c r="S12" s="479">
        <f>Assumptions!$H$54</f>
        <v>5.4923594838594729</v>
      </c>
      <c r="T12" s="479">
        <f>Assumptions!$H$54</f>
        <v>5.4923594838594729</v>
      </c>
      <c r="U12" s="479">
        <f>Assumptions!$H$54</f>
        <v>5.4923594838594729</v>
      </c>
      <c r="V12" s="479">
        <f>Assumptions!$H$54</f>
        <v>5.4923594838594729</v>
      </c>
      <c r="W12" s="479">
        <f>Assumptions!$H$54</f>
        <v>5.4923594838594729</v>
      </c>
      <c r="X12" s="479">
        <f>Assumptions!$H$54</f>
        <v>5.4923594838594729</v>
      </c>
      <c r="Y12" s="479">
        <f>Assumptions!$H$54</f>
        <v>5.4923594838594729</v>
      </c>
      <c r="Z12" s="479">
        <f>Assumptions!$H$54</f>
        <v>5.4923594838594729</v>
      </c>
      <c r="AA12" s="479">
        <f>Assumptions!$H$54</f>
        <v>5.4923594838594729</v>
      </c>
      <c r="AB12" s="479">
        <f>Assumptions!$H$54</f>
        <v>5.4923594838594729</v>
      </c>
      <c r="AC12" s="479">
        <f>Assumptions!$H$54</f>
        <v>5.4923594838594729</v>
      </c>
      <c r="AD12" s="479">
        <f>Assumptions!$H$54</f>
        <v>5.4923594838594729</v>
      </c>
      <c r="AE12" s="479">
        <f>Assumptions!$H$54</f>
        <v>5.4923594838594729</v>
      </c>
      <c r="AF12" s="479">
        <f>Assumptions!$H$54</f>
        <v>5.4923594838594729</v>
      </c>
      <c r="AG12" s="479">
        <f>Assumptions!$H$54</f>
        <v>5.4923594838594729</v>
      </c>
      <c r="AH12" s="479">
        <f>Assumptions!$H$54</f>
        <v>5.4923594838594729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4"/>
      <c r="C13" s="13"/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47"/>
      <c r="Y13" s="347"/>
      <c r="Z13" s="347"/>
      <c r="AA13" s="347"/>
      <c r="AB13" s="347"/>
      <c r="AC13" s="347"/>
      <c r="AD13" s="347"/>
      <c r="AE13" s="347"/>
      <c r="AF13" s="347"/>
      <c r="AG13" s="347"/>
      <c r="AH13" s="34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4" t="s">
        <v>299</v>
      </c>
      <c r="C14" s="13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47"/>
      <c r="V14" s="347"/>
      <c r="W14" s="347"/>
      <c r="X14" s="347"/>
      <c r="Y14" s="347"/>
      <c r="Z14" s="347"/>
      <c r="AA14" s="347"/>
      <c r="AB14" s="347"/>
      <c r="AC14" s="347"/>
      <c r="AD14" s="347"/>
      <c r="AE14" s="347"/>
      <c r="AF14" s="347"/>
      <c r="AG14" s="347"/>
      <c r="AH14" s="34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228</v>
      </c>
      <c r="C15" s="12"/>
      <c r="D15" s="480">
        <v>5.4933333333333332</v>
      </c>
      <c r="E15" s="480">
        <v>5.6581333333333328</v>
      </c>
      <c r="F15" s="480">
        <v>5.6457561666666676</v>
      </c>
      <c r="G15" s="480">
        <v>5.7213364508333333</v>
      </c>
      <c r="H15" s="480">
        <v>5.6997641986416658</v>
      </c>
      <c r="I15" s="480">
        <v>5.7712527665568336</v>
      </c>
      <c r="J15" s="480">
        <v>5.8419008607681322</v>
      </c>
      <c r="K15" s="480">
        <v>5.9115937131422074</v>
      </c>
      <c r="L15" s="480">
        <v>6.088941524536474</v>
      </c>
      <c r="M15" s="480">
        <v>6.1596167386605574</v>
      </c>
      <c r="N15" s="480">
        <v>6.3444052408203753</v>
      </c>
      <c r="O15" s="480">
        <v>6.4159239908078041</v>
      </c>
      <c r="P15" s="480">
        <v>6.6084017105320383</v>
      </c>
      <c r="Q15" s="480">
        <v>6.680604618110074</v>
      </c>
      <c r="R15" s="480">
        <v>6.7511921386033125</v>
      </c>
      <c r="S15" s="480">
        <v>6.8200023661698452</v>
      </c>
      <c r="T15" s="480">
        <v>6.8868651344656273</v>
      </c>
      <c r="U15" s="480">
        <v>6.951601666729605</v>
      </c>
      <c r="V15" s="480">
        <v>7.014024212308402</v>
      </c>
      <c r="W15" s="480">
        <v>7.0739356691218687</v>
      </c>
      <c r="X15" s="480">
        <v>7.1311291915530655</v>
      </c>
      <c r="Y15" s="480">
        <v>7.1853877832279265</v>
      </c>
      <c r="Z15" s="480">
        <v>7.2396463749027831</v>
      </c>
      <c r="AA15" s="480">
        <v>7.2939049665776494</v>
      </c>
      <c r="AB15" s="480">
        <v>7.3481635582525087</v>
      </c>
      <c r="AC15" s="480">
        <v>7.402422149927367</v>
      </c>
      <c r="AD15" s="480">
        <v>7.4566807416022245</v>
      </c>
      <c r="AE15" s="480">
        <v>7.5109393332770908</v>
      </c>
      <c r="AF15" s="480">
        <v>7.5651979249519501</v>
      </c>
      <c r="AG15" s="480">
        <v>7.6194565166268085</v>
      </c>
      <c r="AH15" s="48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229</v>
      </c>
      <c r="C16" s="12"/>
      <c r="D16" s="480">
        <v>4.3775000000000004</v>
      </c>
      <c r="E16" s="480">
        <v>4.5088249999999999</v>
      </c>
      <c r="F16" s="480">
        <v>4.7351503333333334</v>
      </c>
      <c r="G16" s="480">
        <v>4.8772048433333328</v>
      </c>
      <c r="H16" s="480">
        <v>5.023520988633333</v>
      </c>
      <c r="I16" s="480">
        <v>5.1742266182923329</v>
      </c>
      <c r="J16" s="480">
        <v>5.3294534168411039</v>
      </c>
      <c r="K16" s="480">
        <v>5.2782086724483994</v>
      </c>
      <c r="L16" s="480">
        <v>5.2190927353169778</v>
      </c>
      <c r="M16" s="480">
        <v>5.0396864225404565</v>
      </c>
      <c r="N16" s="480">
        <v>4.9601713700959298</v>
      </c>
      <c r="O16" s="480">
        <v>4.8713496967244438</v>
      </c>
      <c r="P16" s="480">
        <v>4.8951123781718797</v>
      </c>
      <c r="Q16" s="480">
        <v>4.9159166057791106</v>
      </c>
      <c r="R16" s="480">
        <v>4.8037328678523572</v>
      </c>
      <c r="S16" s="480">
        <v>4.8141193172963614</v>
      </c>
      <c r="T16" s="480">
        <v>4.8208055941259396</v>
      </c>
      <c r="U16" s="480">
        <v>4.9654297619497179</v>
      </c>
      <c r="V16" s="480">
        <v>5.114392654808209</v>
      </c>
      <c r="W16" s="480">
        <v>5.117315164896671</v>
      </c>
      <c r="X16" s="480">
        <v>5.27083461984357</v>
      </c>
      <c r="Y16" s="480">
        <v>5.4289596584388775</v>
      </c>
      <c r="Z16" s="480">
        <v>5.5870846970341832</v>
      </c>
      <c r="AA16" s="480">
        <v>5.7452097356294916</v>
      </c>
      <c r="AB16" s="480">
        <v>5.9033347742247999</v>
      </c>
      <c r="AC16" s="480">
        <v>6.0614598128201083</v>
      </c>
      <c r="AD16" s="480">
        <v>6.2195848514154086</v>
      </c>
      <c r="AE16" s="480">
        <v>6.377709890010717</v>
      </c>
      <c r="AF16" s="480">
        <v>6.5358349286060253</v>
      </c>
      <c r="AG16" s="480">
        <v>6.6939599672013337</v>
      </c>
      <c r="AH16" s="48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226</v>
      </c>
      <c r="C17" s="12"/>
      <c r="D17" s="481">
        <v>0</v>
      </c>
      <c r="E17" s="481">
        <v>0</v>
      </c>
      <c r="F17" s="481">
        <v>0</v>
      </c>
      <c r="G17" s="481">
        <v>0</v>
      </c>
      <c r="H17" s="481">
        <v>0</v>
      </c>
      <c r="I17" s="481">
        <v>0</v>
      </c>
      <c r="J17" s="481">
        <v>0</v>
      </c>
      <c r="K17" s="481">
        <v>0</v>
      </c>
      <c r="L17" s="481">
        <v>0</v>
      </c>
      <c r="M17" s="481">
        <v>0</v>
      </c>
      <c r="N17" s="481">
        <v>0</v>
      </c>
      <c r="O17" s="481">
        <v>0</v>
      </c>
      <c r="P17" s="481">
        <v>0</v>
      </c>
      <c r="Q17" s="481">
        <v>0</v>
      </c>
      <c r="R17" s="481">
        <v>0</v>
      </c>
      <c r="S17" s="481">
        <v>0</v>
      </c>
      <c r="T17" s="481">
        <v>0</v>
      </c>
      <c r="U17" s="481">
        <v>0</v>
      </c>
      <c r="V17" s="481">
        <v>0</v>
      </c>
      <c r="W17" s="481">
        <v>0</v>
      </c>
      <c r="X17" s="481">
        <v>0</v>
      </c>
      <c r="Y17" s="481">
        <v>0</v>
      </c>
      <c r="Z17" s="481">
        <v>0</v>
      </c>
      <c r="AA17" s="481">
        <v>0</v>
      </c>
      <c r="AB17" s="481">
        <v>0</v>
      </c>
      <c r="AC17" s="481">
        <v>0</v>
      </c>
      <c r="AD17" s="481">
        <v>0</v>
      </c>
      <c r="AE17" s="481">
        <v>0</v>
      </c>
      <c r="AF17" s="481">
        <v>0</v>
      </c>
      <c r="AG17" s="481">
        <v>0</v>
      </c>
      <c r="AH17" s="481">
        <v>0</v>
      </c>
      <c r="AI17" s="482"/>
      <c r="AJ17" s="482"/>
      <c r="AK17" s="482"/>
      <c r="AL17" s="482"/>
      <c r="AM17" s="482"/>
      <c r="AN17" s="482"/>
      <c r="AO17" s="482"/>
      <c r="AP17" s="482"/>
      <c r="AQ17" s="482"/>
      <c r="AR17" s="48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83">
        <v>0</v>
      </c>
      <c r="E18" s="483">
        <v>0</v>
      </c>
      <c r="F18" s="483">
        <v>0</v>
      </c>
      <c r="G18" s="483">
        <v>0</v>
      </c>
      <c r="H18" s="483">
        <v>0</v>
      </c>
      <c r="I18" s="483">
        <v>0</v>
      </c>
      <c r="J18" s="483">
        <v>0</v>
      </c>
      <c r="K18" s="483">
        <v>0</v>
      </c>
      <c r="L18" s="483">
        <v>0</v>
      </c>
      <c r="M18" s="483">
        <v>0</v>
      </c>
      <c r="N18" s="483">
        <v>0</v>
      </c>
      <c r="O18" s="483">
        <v>0</v>
      </c>
      <c r="P18" s="483">
        <v>0</v>
      </c>
      <c r="Q18" s="483">
        <v>0</v>
      </c>
      <c r="R18" s="483">
        <v>0</v>
      </c>
      <c r="S18" s="483">
        <v>0</v>
      </c>
      <c r="T18" s="483">
        <v>0</v>
      </c>
      <c r="U18" s="483">
        <v>0</v>
      </c>
      <c r="V18" s="483">
        <v>0</v>
      </c>
      <c r="W18" s="483">
        <v>0</v>
      </c>
      <c r="X18" s="483">
        <v>0</v>
      </c>
      <c r="Y18" s="483">
        <v>0</v>
      </c>
      <c r="Z18" s="483">
        <v>0</v>
      </c>
      <c r="AA18" s="483">
        <v>0</v>
      </c>
      <c r="AB18" s="483">
        <v>0</v>
      </c>
      <c r="AC18" s="483">
        <v>0</v>
      </c>
      <c r="AD18" s="483">
        <v>0</v>
      </c>
      <c r="AE18" s="483">
        <v>0</v>
      </c>
      <c r="AF18" s="483">
        <v>0</v>
      </c>
      <c r="AG18" s="483">
        <v>0</v>
      </c>
      <c r="AH18" s="48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4">
        <v>1</v>
      </c>
      <c r="B19" s="13" t="s">
        <v>116</v>
      </c>
      <c r="C19" s="485"/>
      <c r="D19" s="486">
        <f t="shared" ref="D19:AH19" si="4">CHOOSE($A$19,D15,D16,D17,D18)</f>
        <v>5.4933333333333332</v>
      </c>
      <c r="E19" s="486">
        <f t="shared" si="4"/>
        <v>5.6581333333333328</v>
      </c>
      <c r="F19" s="486">
        <f t="shared" si="4"/>
        <v>5.6457561666666676</v>
      </c>
      <c r="G19" s="486">
        <f t="shared" si="4"/>
        <v>5.7213364508333333</v>
      </c>
      <c r="H19" s="486">
        <f t="shared" si="4"/>
        <v>5.6997641986416658</v>
      </c>
      <c r="I19" s="486">
        <f t="shared" si="4"/>
        <v>5.7712527665568336</v>
      </c>
      <c r="J19" s="486">
        <f t="shared" si="4"/>
        <v>5.8419008607681322</v>
      </c>
      <c r="K19" s="486">
        <f t="shared" si="4"/>
        <v>5.9115937131422074</v>
      </c>
      <c r="L19" s="486">
        <f t="shared" si="4"/>
        <v>6.088941524536474</v>
      </c>
      <c r="M19" s="486">
        <f t="shared" si="4"/>
        <v>6.1596167386605574</v>
      </c>
      <c r="N19" s="486">
        <f t="shared" si="4"/>
        <v>6.3444052408203753</v>
      </c>
      <c r="O19" s="486">
        <f t="shared" si="4"/>
        <v>6.4159239908078041</v>
      </c>
      <c r="P19" s="486">
        <f t="shared" si="4"/>
        <v>6.6084017105320383</v>
      </c>
      <c r="Q19" s="486">
        <f t="shared" si="4"/>
        <v>6.680604618110074</v>
      </c>
      <c r="R19" s="486">
        <f t="shared" si="4"/>
        <v>6.7511921386033125</v>
      </c>
      <c r="S19" s="486">
        <f t="shared" si="4"/>
        <v>6.8200023661698452</v>
      </c>
      <c r="T19" s="486">
        <f t="shared" si="4"/>
        <v>6.8868651344656273</v>
      </c>
      <c r="U19" s="486">
        <f t="shared" si="4"/>
        <v>6.951601666729605</v>
      </c>
      <c r="V19" s="486">
        <f t="shared" si="4"/>
        <v>7.014024212308402</v>
      </c>
      <c r="W19" s="486">
        <f t="shared" si="4"/>
        <v>7.0739356691218687</v>
      </c>
      <c r="X19" s="486">
        <f t="shared" si="4"/>
        <v>7.1311291915530655</v>
      </c>
      <c r="Y19" s="486">
        <f t="shared" si="4"/>
        <v>7.1853877832279265</v>
      </c>
      <c r="Z19" s="486">
        <f t="shared" si="4"/>
        <v>7.2396463749027831</v>
      </c>
      <c r="AA19" s="486">
        <f t="shared" si="4"/>
        <v>7.2939049665776494</v>
      </c>
      <c r="AB19" s="486">
        <f t="shared" si="4"/>
        <v>7.3481635582525087</v>
      </c>
      <c r="AC19" s="486">
        <f t="shared" si="4"/>
        <v>7.402422149927367</v>
      </c>
      <c r="AD19" s="486">
        <f t="shared" si="4"/>
        <v>7.4566807416022245</v>
      </c>
      <c r="AE19" s="486">
        <f t="shared" si="4"/>
        <v>7.5109393332770908</v>
      </c>
      <c r="AF19" s="486">
        <f t="shared" si="4"/>
        <v>7.5651979249519501</v>
      </c>
      <c r="AG19" s="486">
        <f t="shared" si="4"/>
        <v>7.6194565166268085</v>
      </c>
      <c r="AH19" s="48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5"/>
      <c r="D20" s="487"/>
      <c r="E20" s="487"/>
      <c r="F20" s="487"/>
      <c r="G20" s="487"/>
      <c r="H20" s="487"/>
      <c r="I20" s="487"/>
      <c r="J20" s="487"/>
      <c r="K20" s="487"/>
      <c r="L20" s="487"/>
      <c r="M20" s="487"/>
      <c r="N20" s="487"/>
      <c r="O20" s="487"/>
      <c r="P20" s="487"/>
      <c r="Q20" s="487"/>
      <c r="R20" s="487"/>
      <c r="S20" s="487"/>
      <c r="T20" s="487"/>
      <c r="U20" s="487"/>
      <c r="V20" s="487"/>
      <c r="W20" s="487"/>
      <c r="X20" s="487"/>
      <c r="Y20" s="488"/>
      <c r="Z20" s="489"/>
      <c r="AA20" s="48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293</v>
      </c>
      <c r="C21" s="485"/>
      <c r="D21" s="490">
        <f>IF(AND(C7&lt;$D$7+Assumptions!$H$53,D7&lt;$D$7+Assumptions!$H$53),D12,IF(AND(C7&lt;$D$7+Assumptions!$H$53,D7&gt;$D$7+Assumptions!$H$53),D12*(1-$D$7)+D19*$D$7,D19))</f>
        <v>5.4923594838594729</v>
      </c>
      <c r="E21" s="491">
        <f>IF(AND(D7&lt;$D$7+Assumptions!$H$53,E7&lt;$D$7+Assumptions!$H$53),E12,IF(AND(D7&lt;$D$7+Assumptions!$H$53,E7&gt;=$D$7+Assumptions!$H$53),E12*(1-$D$7)+E19*$D$7,E19))</f>
        <v>5.4923594838594729</v>
      </c>
      <c r="F21" s="491">
        <f>IF(AND(E7&lt;$D$7+Assumptions!$H$53,F7&lt;$D$7+Assumptions!$H$53),F12,IF(AND(E7&lt;$D$7+Assumptions!$H$53,F7&gt;=$D$7+Assumptions!$H$53),F12*(1-$D$7)+F19*$D$7,F19))</f>
        <v>5.4923594838594729</v>
      </c>
      <c r="G21" s="491">
        <f>IF(AND(F7&lt;$D$7+Assumptions!$H$53,G7&lt;$D$7+Assumptions!$H$53),G12,IF(AND(F7&lt;$D$7+Assumptions!$H$53,G7&gt;=$D$7+Assumptions!$H$53),G12*(1-$D$7)+G19*$D$7,G19))</f>
        <v>5.4923594838594729</v>
      </c>
      <c r="H21" s="491">
        <f>IF(AND(G7&lt;$D$7+Assumptions!$H$53,H7&lt;$D$7+Assumptions!$H$53),H12,IF(AND(G7&lt;$D$7+Assumptions!$H$53,H7&gt;=$D$7+Assumptions!$H$53),H12*(1-$D$7)+H19*$D$7,H19))</f>
        <v>5.4923594838594729</v>
      </c>
      <c r="I21" s="491">
        <f>IF(AND(H7&lt;$D$7+Assumptions!$H$53,I7&lt;$D$7+Assumptions!$H$53),I12,IF(AND(H7&lt;$D$7+Assumptions!$H$53,I7&gt;=$D$7+Assumptions!$H$53),I12*(1-$D$7)+I19*$D$7,I19))</f>
        <v>5.4923594838594729</v>
      </c>
      <c r="J21" s="491">
        <f>IF(AND(I7&lt;$D$7+Assumptions!$H$53,J7&lt;$D$7+Assumptions!$H$53),J12,IF(AND(I7&lt;$D$7+Assumptions!$H$53,J7&gt;=$D$7+Assumptions!$H$53),J12*(1-$D$7)+J19*$D$7,J19))</f>
        <v>5.4923594838594729</v>
      </c>
      <c r="K21" s="491">
        <f>IF(AND(J7&lt;$D$7+Assumptions!$H$53,K7&lt;$D$7+Assumptions!$H$53),K12,IF(AND(J7&lt;$D$7+Assumptions!$H$53,K7&gt;=$D$7+Assumptions!$H$53),K12*(1-$D$7)+K19*$D$7,K19))</f>
        <v>5.4923594838594729</v>
      </c>
      <c r="L21" s="491">
        <f>IF(AND(K7&lt;$D$7+Assumptions!$H$53,L7&lt;$D$7+Assumptions!$H$53),L12,IF(AND(K7&lt;$D$7+Assumptions!$H$53,L7&gt;=$D$7+Assumptions!$H$53),L12*(1-$D$7)+L19*$D$7,L19))</f>
        <v>5.4923594838594729</v>
      </c>
      <c r="M21" s="491">
        <f>IF(AND(L7&lt;$D$7+Assumptions!$H$53,M7&lt;$D$7+Assumptions!$H$53),M12,IF(AND(L7&lt;$D$7+Assumptions!$H$53,M7&gt;=$D$7+Assumptions!$H$53),M12*(1-$D$7)+M19*$D$7,M19))</f>
        <v>5.4923594838594729</v>
      </c>
      <c r="N21" s="491">
        <f>IF(AND(M7&lt;$D$7+Assumptions!$H$53,N7&lt;$D$7+Assumptions!$H$53),N12,IF(AND(M7&lt;$D$7+Assumptions!$H$53,N7&gt;=$D$7+Assumptions!$H$53),N12*(1-$D$7)+N19*$D$7,N19))</f>
        <v>5.4923594838594729</v>
      </c>
      <c r="O21" s="491">
        <f>IF(AND(N7&lt;$D$7+Assumptions!$H$53,O7&lt;$D$7+Assumptions!$H$53),O12,IF(AND(N7&lt;$D$7+Assumptions!$H$53,O7&gt;=$D$7+Assumptions!$H$53),O12*(1-$D$7)+O19*$D$7,O19))</f>
        <v>5.4923594838594729</v>
      </c>
      <c r="P21" s="491">
        <f>IF(AND(O7&lt;$D$7+Assumptions!$H$53,P7&lt;$D$7+Assumptions!$H$53),P12,IF(AND(O7&lt;$D$7+Assumptions!$H$53,P7&gt;=$D$7+Assumptions!$H$53),P12*(1-$D$7)+P19*$D$7,P19))</f>
        <v>5.4923594838594729</v>
      </c>
      <c r="Q21" s="491">
        <f>IF(AND(P7&lt;$D$7+Assumptions!$H$53,Q7&lt;$D$7+Assumptions!$H$53),Q12,IF(AND(P7&lt;$D$7+Assumptions!$H$53,Q7&gt;=$D$7+Assumptions!$H$53),Q12*(1-$D$7)+Q19*$D$7,Q19))</f>
        <v>5.4923594838594729</v>
      </c>
      <c r="R21" s="492">
        <f>IF(AND(Q7&lt;$D$7+Assumptions!$H$53,R7&lt;$D$7+Assumptions!$H$53),R12,IF(AND(Q7&lt;$D$7+Assumptions!$H$53,R7&gt;=$D$7+Assumptions!$H$53),R12*(1-$D$7)+R19*$D$7,R19))</f>
        <v>5.4923594838594729</v>
      </c>
      <c r="S21" s="490">
        <f>IF(AND(R7&lt;$D$7+Assumptions!$H$53,S7&lt;$D$7+Assumptions!$H$53),S12,IF(AND(R7&lt;$D$7+Assumptions!$H$53,S7&gt;=$D$7+Assumptions!$H$53),S12*(1-$D$7)+S19*$D$7,S19))</f>
        <v>5.4923594838594729</v>
      </c>
      <c r="T21" s="491">
        <f>IF(AND(S7&lt;$D$7+Assumptions!$H$53,T7&lt;$D$7+Assumptions!$H$53),T12,IF(AND(S7&lt;$D$7+Assumptions!$H$53,T7&gt;=$D$7+Assumptions!$H$53),T12*(1-$D$7)+T19*$D$7,T19))</f>
        <v>5.4923594838594729</v>
      </c>
      <c r="U21" s="491">
        <f>IF(AND(T7&lt;$D$7+Assumptions!$H$53,U7&lt;$D$7+Assumptions!$H$53),U12,IF(AND(T7&lt;$D$7+Assumptions!$H$53,U7&gt;=$D$7+Assumptions!$H$53),U12*(1-$D$7)+U19*$D$7,U19))</f>
        <v>5.4923594838594729</v>
      </c>
      <c r="V21" s="491">
        <f>IF(AND(U7&lt;$D$7+Assumptions!$H$53,V7&lt;$D$7+Assumptions!$H$53),V12,IF(AND(U7&lt;$D$7+Assumptions!$H$53,V7&gt;=$D$7+Assumptions!$H$53),V12*(1-$D$7)+V19*$D$7,V19))</f>
        <v>5.4923594838594729</v>
      </c>
      <c r="W21" s="491">
        <f>IF(AND(V7&lt;$D$7+Assumptions!$H$53,W7&lt;$D$7+Assumptions!$H$53),W12,IF(AND(V7&lt;$D$7+Assumptions!$H$53,W7&gt;=$D$7+Assumptions!$H$53),W12*(1-$D$7)+W19*$D$7,W19))</f>
        <v>5.4923594838594729</v>
      </c>
      <c r="X21" s="491">
        <f>IF(AND(W7&lt;$D$7+Assumptions!$H$53,X7&lt;$D$7+Assumptions!$H$53),X12,IF(AND(W7&lt;$D$7+Assumptions!$H$53,X7&gt;=$D$7+Assumptions!$H$53),X12*(1-$D$7)+X19*$D$7,X19))</f>
        <v>5.4923594838594729</v>
      </c>
      <c r="Y21" s="491">
        <f>IF(AND(X7&lt;$D$7+Assumptions!$H$53,Y7&lt;$D$7+Assumptions!$H$53),Y12,IF(AND(X7&lt;$D$7+Assumptions!$H$53,Y7&gt;=$D$7+Assumptions!$H$53),Y12*(1-$D$7)+Y19*$D$7,Y19))</f>
        <v>5.4923594838594729</v>
      </c>
      <c r="Z21" s="491">
        <f>IF(AND(Y7&lt;$D$7+Assumptions!$H$53,Z7&lt;$D$7+Assumptions!$H$53),Z12,IF(AND(Y7&lt;$D$7+Assumptions!$H$53,Z7&gt;=$D$7+Assumptions!$H$53),Z12*(1-$D$7)+Z19*$D$7,Z19))</f>
        <v>5.4923594838594729</v>
      </c>
      <c r="AA21" s="491">
        <f>IF(AND(Z7&lt;$D$7+Assumptions!$H$53,AA7&lt;$D$7+Assumptions!$H$53),AA12,IF(AND(Z7&lt;$D$7+Assumptions!$H$53,AA7&gt;=$D$7+Assumptions!$H$53),AA12*(1-$D$7)+AA19*$D$7,AA19))</f>
        <v>5.4923594838594729</v>
      </c>
      <c r="AB21" s="491">
        <f>IF(AND(AA7&lt;$D$7+Assumptions!$H$53,AB7&lt;$D$7+Assumptions!$H$53),AB12,IF(AND(AA7&lt;$D$7+Assumptions!$H$53,AB7&gt;=$D$7+Assumptions!$H$53),AB12*(1-$D$7)+AB19*$D$7,AB19))</f>
        <v>5.4923594838594729</v>
      </c>
      <c r="AC21" s="491">
        <f>IF(AND(AB7&lt;$D$7+Assumptions!$H$53,AC7&lt;$D$7+Assumptions!$H$53),AC12,IF(AND(AB7&lt;$D$7+Assumptions!$H$53,AC7&gt;=$D$7+Assumptions!$H$53),AC12*(1-$D$7)+AC19*$D$7,AC19))</f>
        <v>5.4923594838594729</v>
      </c>
      <c r="AD21" s="491">
        <f>IF(AND(AC7&lt;$D$7+Assumptions!$H$53,AD7&lt;$D$7+Assumptions!$H$53),AD12,IF(AND(AC7&lt;$D$7+Assumptions!$H$53,AD7&gt;=$D$7+Assumptions!$H$53),AD12*(1-$D$7)+AD19*$D$7,AD19))</f>
        <v>5.4923594838594729</v>
      </c>
      <c r="AE21" s="491">
        <f>IF(AND(AD7&lt;$D$7+Assumptions!$H$53,AE7&lt;$D$7+Assumptions!$H$53),AE12,IF(AND(AD7&lt;$D$7+Assumptions!$H$53,AE7&gt;=$D$7+Assumptions!$H$53),AE12*(1-$D$7)+AE19*$D$7,AE19))</f>
        <v>5.4923594838594729</v>
      </c>
      <c r="AF21" s="491">
        <f>IF(AND(AE7&lt;$D$7+Assumptions!$H$53,AF7&lt;$D$7+Assumptions!$H$53),AF12,IF(AND(AE7&lt;$D$7+Assumptions!$H$53,AF7&gt;=$D$7+Assumptions!$H$53),AF12*(1-$D$7)+AF19*$D$7,AF19))</f>
        <v>5.4923594838594729</v>
      </c>
      <c r="AG21" s="491">
        <f>IF(AND(AF7&lt;$D$7+Assumptions!$H$53,AG7&lt;$D$7+Assumptions!$H$53),AG12,IF(AND(AF7&lt;$D$7+Assumptions!$H$53,AG7&gt;=$D$7+Assumptions!$H$53),AG12*(1-$D$7)+AG19*$D$7,AG19))</f>
        <v>5.4923594838594729</v>
      </c>
      <c r="AH21" s="492">
        <f>IF(AND(AG7&lt;$D$7+Assumptions!$H$53,AH7&lt;$D$7+Assumptions!$H$53),AH12,IF(AND(AG7&lt;$D$7+Assumptions!$H$53,AH7&gt;=$D$7+Assumptions!$H$53),AH12*(1-$D$7)+AH19*$D$7,AH19))</f>
        <v>6.9465965668209346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5"/>
      <c r="D22" s="487"/>
      <c r="E22" s="487"/>
      <c r="F22" s="487"/>
      <c r="G22" s="487"/>
      <c r="H22" s="487"/>
      <c r="I22" s="487"/>
      <c r="J22" s="487"/>
      <c r="K22" s="487"/>
      <c r="L22" s="487"/>
      <c r="M22" s="487"/>
      <c r="N22" s="487"/>
      <c r="O22" s="487"/>
      <c r="P22" s="487"/>
      <c r="Q22" s="487"/>
      <c r="R22" s="487"/>
      <c r="S22" s="487"/>
      <c r="T22" s="487"/>
      <c r="U22" s="487"/>
      <c r="V22" s="487"/>
      <c r="W22" s="487"/>
      <c r="X22" s="487"/>
      <c r="Y22" s="488"/>
      <c r="Z22" s="489"/>
      <c r="AA22" s="48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77" t="s">
        <v>377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422</v>
      </c>
      <c r="C25" s="493"/>
      <c r="D25" s="481">
        <f>'Fuel Oil Curve'!G4</f>
        <v>4.3843820861678013</v>
      </c>
      <c r="E25" s="481">
        <f>'Fuel Oil Curve'!G5</f>
        <v>4.2499291383219955</v>
      </c>
      <c r="F25" s="481">
        <f>'Fuel Oil Curve'!G6</f>
        <v>4.1938350340136061</v>
      </c>
      <c r="G25" s="481">
        <f>'Fuel Oil Curve'!G7</f>
        <v>4.1759070294784584</v>
      </c>
      <c r="H25" s="481">
        <f>'Fuel Oil Curve'!G8</f>
        <v>4.1729875283446711</v>
      </c>
      <c r="I25" s="481">
        <f>'Fuel Oil Curve'!G9</f>
        <v>4.2383503401360549</v>
      </c>
      <c r="J25" s="481">
        <f>'Fuel Oil Curve'!G10</f>
        <v>4.340476190476191</v>
      </c>
      <c r="K25" s="481">
        <f>'Fuel Oil Curve'!G11</f>
        <v>4.3489370748299327</v>
      </c>
      <c r="L25" s="481">
        <f>'Fuel Oil Curve'!G12</f>
        <v>4.3489370748299327</v>
      </c>
      <c r="M25" s="481">
        <f>'Fuel Oil Curve'!G13</f>
        <v>4.3489370748299327</v>
      </c>
      <c r="N25" s="481">
        <f>'Fuel Oil Curve'!G14</f>
        <v>4.3489370748299327</v>
      </c>
      <c r="O25" s="481">
        <f>'Fuel Oil Curve'!G15</f>
        <v>4.3489370748299327</v>
      </c>
      <c r="P25" s="481">
        <f>'Fuel Oil Curve'!G16</f>
        <v>4.3489370748299327</v>
      </c>
      <c r="Q25" s="481">
        <f>'Fuel Oil Curve'!G17</f>
        <v>4.3489370748299327</v>
      </c>
      <c r="R25" s="481">
        <f>'Fuel Oil Curve'!G18</f>
        <v>4.3489370748299327</v>
      </c>
      <c r="S25" s="481">
        <f>'Fuel Oil Curve'!G19</f>
        <v>4.3489370748299327</v>
      </c>
      <c r="T25" s="481">
        <f>'Fuel Oil Curve'!G20</f>
        <v>4.3499999999999996</v>
      </c>
      <c r="U25" s="481">
        <f>'Fuel Oil Curve'!G21</f>
        <v>4.3499999999999996</v>
      </c>
      <c r="V25" s="481">
        <f>'Fuel Oil Curve'!G22</f>
        <v>4.3499999999999996</v>
      </c>
      <c r="W25" s="481">
        <f>'Fuel Oil Curve'!G23</f>
        <v>4.3499999999999996</v>
      </c>
      <c r="X25" s="481">
        <f>'Fuel Oil Curve'!G24</f>
        <v>4.3499999999999996</v>
      </c>
      <c r="Y25" s="481">
        <v>2.2000000000000002</v>
      </c>
      <c r="Z25" s="481">
        <v>2.2000000000000002</v>
      </c>
      <c r="AA25" s="481">
        <v>2.2000000000000002</v>
      </c>
      <c r="AB25" s="481">
        <v>2.2000000000000002</v>
      </c>
      <c r="AC25" s="481">
        <v>2.2000000000000002</v>
      </c>
      <c r="AD25" s="481">
        <v>2.2000000000000002</v>
      </c>
      <c r="AE25" s="481">
        <v>2.2000000000000002</v>
      </c>
      <c r="AF25" s="481">
        <v>2.2000000000000002</v>
      </c>
      <c r="AG25" s="481">
        <v>2.2000000000000002</v>
      </c>
      <c r="AH25" s="48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223</v>
      </c>
      <c r="C26" s="13"/>
      <c r="D26" s="481">
        <v>2.5</v>
      </c>
      <c r="E26" s="481">
        <v>2.5</v>
      </c>
      <c r="F26" s="481">
        <v>2.5</v>
      </c>
      <c r="G26" s="481">
        <v>2.5</v>
      </c>
      <c r="H26" s="481">
        <v>2.5</v>
      </c>
      <c r="I26" s="481">
        <v>2.5</v>
      </c>
      <c r="J26" s="481">
        <v>2.5</v>
      </c>
      <c r="K26" s="481">
        <v>2.5</v>
      </c>
      <c r="L26" s="481">
        <v>2.5</v>
      </c>
      <c r="M26" s="481">
        <v>2.5</v>
      </c>
      <c r="N26" s="481">
        <v>2.5</v>
      </c>
      <c r="O26" s="481">
        <v>2.5</v>
      </c>
      <c r="P26" s="481">
        <v>2.5</v>
      </c>
      <c r="Q26" s="481">
        <v>2.5</v>
      </c>
      <c r="R26" s="481">
        <v>2.5</v>
      </c>
      <c r="S26" s="481">
        <v>2.5</v>
      </c>
      <c r="T26" s="481">
        <v>2.5</v>
      </c>
      <c r="U26" s="481">
        <v>2.5</v>
      </c>
      <c r="V26" s="481">
        <v>2.5</v>
      </c>
      <c r="W26" s="481">
        <v>2.5</v>
      </c>
      <c r="X26" s="481">
        <v>2.5</v>
      </c>
      <c r="Y26" s="481">
        <v>2.5</v>
      </c>
      <c r="Z26" s="481">
        <v>2.5</v>
      </c>
      <c r="AA26" s="481">
        <v>2.5</v>
      </c>
      <c r="AB26" s="481">
        <v>2.5</v>
      </c>
      <c r="AC26" s="481">
        <v>2.5</v>
      </c>
      <c r="AD26" s="481">
        <v>2.5</v>
      </c>
      <c r="AE26" s="481">
        <v>2.5</v>
      </c>
      <c r="AF26" s="481">
        <v>2.5</v>
      </c>
      <c r="AG26" s="481">
        <v>2.5</v>
      </c>
      <c r="AH26" s="48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494">
        <v>1.5</v>
      </c>
      <c r="E27" s="494">
        <v>1.5</v>
      </c>
      <c r="F27" s="494">
        <v>1.5</v>
      </c>
      <c r="G27" s="494">
        <v>1.5</v>
      </c>
      <c r="H27" s="494">
        <v>1.5</v>
      </c>
      <c r="I27" s="494">
        <v>1.5</v>
      </c>
      <c r="J27" s="494">
        <v>1.5</v>
      </c>
      <c r="K27" s="494">
        <v>1.5</v>
      </c>
      <c r="L27" s="494">
        <v>1.5</v>
      </c>
      <c r="M27" s="494">
        <v>1.5</v>
      </c>
      <c r="N27" s="494">
        <v>1.5</v>
      </c>
      <c r="O27" s="494">
        <v>1.5</v>
      </c>
      <c r="P27" s="494">
        <v>1.5</v>
      </c>
      <c r="Q27" s="494">
        <v>1.5</v>
      </c>
      <c r="R27" s="494">
        <v>1.5</v>
      </c>
      <c r="S27" s="494">
        <v>1.5</v>
      </c>
      <c r="T27" s="494">
        <v>1.5</v>
      </c>
      <c r="U27" s="494">
        <v>1.5</v>
      </c>
      <c r="V27" s="494">
        <v>1.5</v>
      </c>
      <c r="W27" s="494">
        <v>1.5</v>
      </c>
      <c r="X27" s="494">
        <v>1.5</v>
      </c>
      <c r="Y27" s="494">
        <v>1.5</v>
      </c>
      <c r="Z27" s="494">
        <v>1.5</v>
      </c>
      <c r="AA27" s="494">
        <v>1.5</v>
      </c>
      <c r="AB27" s="494">
        <v>1.5</v>
      </c>
      <c r="AC27" s="494">
        <v>1.5</v>
      </c>
      <c r="AD27" s="494">
        <v>1.5</v>
      </c>
      <c r="AE27" s="494">
        <v>1.5</v>
      </c>
      <c r="AF27" s="494">
        <v>1.5</v>
      </c>
      <c r="AG27" s="494">
        <v>1.5</v>
      </c>
      <c r="AH27" s="49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224</v>
      </c>
      <c r="C28" s="13"/>
      <c r="D28" s="495">
        <f>Assumptions!$N$54</f>
        <v>1.4999999999999999E-2</v>
      </c>
      <c r="E28" s="495">
        <f>Assumptions!$N$54</f>
        <v>1.4999999999999999E-2</v>
      </c>
      <c r="F28" s="495">
        <f>Assumptions!$N$54</f>
        <v>1.4999999999999999E-2</v>
      </c>
      <c r="G28" s="495">
        <f>Assumptions!$N$54</f>
        <v>1.4999999999999999E-2</v>
      </c>
      <c r="H28" s="495">
        <f>Assumptions!$N$54</f>
        <v>1.4999999999999999E-2</v>
      </c>
      <c r="I28" s="495">
        <f>Assumptions!$N$54</f>
        <v>1.4999999999999999E-2</v>
      </c>
      <c r="J28" s="495">
        <f>Assumptions!$N$54</f>
        <v>1.4999999999999999E-2</v>
      </c>
      <c r="K28" s="495">
        <f>Assumptions!$N$54</f>
        <v>1.4999999999999999E-2</v>
      </c>
      <c r="L28" s="495">
        <f>Assumptions!$N$54</f>
        <v>1.4999999999999999E-2</v>
      </c>
      <c r="M28" s="495">
        <f>Assumptions!$N$54</f>
        <v>1.4999999999999999E-2</v>
      </c>
      <c r="N28" s="495">
        <f>Assumptions!$N$54</f>
        <v>1.4999999999999999E-2</v>
      </c>
      <c r="O28" s="495">
        <f>Assumptions!$N$54</f>
        <v>1.4999999999999999E-2</v>
      </c>
      <c r="P28" s="495">
        <f>Assumptions!$N$54</f>
        <v>1.4999999999999999E-2</v>
      </c>
      <c r="Q28" s="495">
        <f>Assumptions!$N$54</f>
        <v>1.4999999999999999E-2</v>
      </c>
      <c r="R28" s="495">
        <f>Assumptions!$N$54</f>
        <v>1.4999999999999999E-2</v>
      </c>
      <c r="S28" s="495">
        <f>Assumptions!$N$54</f>
        <v>1.4999999999999999E-2</v>
      </c>
      <c r="T28" s="495">
        <f>Assumptions!$N$54</f>
        <v>1.4999999999999999E-2</v>
      </c>
      <c r="U28" s="495">
        <f>Assumptions!$N$54</f>
        <v>1.4999999999999999E-2</v>
      </c>
      <c r="V28" s="495">
        <f>Assumptions!$N$54</f>
        <v>1.4999999999999999E-2</v>
      </c>
      <c r="W28" s="495">
        <f>Assumptions!$N$54</f>
        <v>1.4999999999999999E-2</v>
      </c>
      <c r="X28" s="495">
        <f>Assumptions!$N$54</f>
        <v>1.4999999999999999E-2</v>
      </c>
      <c r="Y28" s="495">
        <f>Assumptions!$N$54</f>
        <v>1.4999999999999999E-2</v>
      </c>
      <c r="Z28" s="495">
        <f>Assumptions!$N$54</f>
        <v>1.4999999999999999E-2</v>
      </c>
      <c r="AA28" s="495">
        <f>Assumptions!$N$54</f>
        <v>1.4999999999999999E-2</v>
      </c>
      <c r="AB28" s="495">
        <f>Assumptions!$N$54</f>
        <v>1.4999999999999999E-2</v>
      </c>
      <c r="AC28" s="495">
        <f>Assumptions!$N$54</f>
        <v>1.4999999999999999E-2</v>
      </c>
      <c r="AD28" s="495">
        <f>Assumptions!$N$54</f>
        <v>1.4999999999999999E-2</v>
      </c>
      <c r="AE28" s="495">
        <f>Assumptions!$N$54</f>
        <v>1.4999999999999999E-2</v>
      </c>
      <c r="AF28" s="495">
        <f>Assumptions!$N$54</f>
        <v>1.4999999999999999E-2</v>
      </c>
      <c r="AG28" s="495">
        <f>Assumptions!$N$54</f>
        <v>1.4999999999999999E-2</v>
      </c>
      <c r="AH28" s="49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4">
        <f>Assumptions!U13</f>
        <v>1</v>
      </c>
      <c r="B30" s="43" t="s">
        <v>221</v>
      </c>
      <c r="C30" s="12"/>
      <c r="D30" s="49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49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49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49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49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49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49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49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49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49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49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49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49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49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49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49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49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49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49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49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49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49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49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49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49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49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49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49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49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49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49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77" t="s">
        <v>378</v>
      </c>
      <c r="C33" s="13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347"/>
      <c r="AB33" s="347"/>
      <c r="AC33" s="347"/>
      <c r="AD33" s="347"/>
      <c r="AE33" s="347"/>
      <c r="AF33" s="347"/>
      <c r="AG33" s="347"/>
      <c r="AH33" s="34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222</v>
      </c>
      <c r="C34" s="12"/>
      <c r="D34" s="482">
        <f>D44*'Price_Technical Assumption'!D30/1000</f>
        <v>46.753252970238094</v>
      </c>
      <c r="E34" s="482">
        <f>E44*'Price_Technical Assumption'!E30/1000</f>
        <v>45.319501860119047</v>
      </c>
      <c r="F34" s="482">
        <f>F44*'Price_Technical Assumption'!F30/1000</f>
        <v>44.721337330357144</v>
      </c>
      <c r="G34" s="482">
        <f>G44*'Price_Technical Assumption'!G30/1000</f>
        <v>44.530160440476187</v>
      </c>
      <c r="H34" s="482">
        <f>H44*'Price_Technical Assumption'!H30/1000</f>
        <v>44.499028077380949</v>
      </c>
      <c r="I34" s="482">
        <f>I44*'Price_Technical Assumption'!I30/1000</f>
        <v>45.196030303571426</v>
      </c>
      <c r="J34" s="482">
        <f>J44*'Price_Technical Assumption'!J30/1000</f>
        <v>46.285058499999998</v>
      </c>
      <c r="K34" s="482">
        <f>K44*'Price_Technical Assumption'!K30/1000</f>
        <v>46.375281901785719</v>
      </c>
      <c r="L34" s="482">
        <f>L44*'Price_Technical Assumption'!L30/1000</f>
        <v>46.375281901785719</v>
      </c>
      <c r="M34" s="482">
        <f>M44*'Price_Technical Assumption'!M30/1000</f>
        <v>46.375281901785719</v>
      </c>
      <c r="N34" s="482">
        <f>N44*'Price_Technical Assumption'!N30/1000</f>
        <v>46.375281901785719</v>
      </c>
      <c r="O34" s="482">
        <f>O44*'Price_Technical Assumption'!O30/1000</f>
        <v>46.375281901785719</v>
      </c>
      <c r="P34" s="482">
        <f>P44*'Price_Technical Assumption'!P30/1000</f>
        <v>46.375281901785719</v>
      </c>
      <c r="Q34" s="482">
        <f>Q44*'Price_Technical Assumption'!Q30/1000</f>
        <v>46.375281901785719</v>
      </c>
      <c r="R34" s="482">
        <f>R44*'Price_Technical Assumption'!R30/1000</f>
        <v>46.375281901785719</v>
      </c>
      <c r="S34" s="482">
        <f>S44*'Price_Technical Assumption'!S30/1000</f>
        <v>46.375281901785719</v>
      </c>
      <c r="T34" s="482">
        <f>T44*'Price_Technical Assumption'!T30/1000</f>
        <v>46.386616499999995</v>
      </c>
      <c r="U34" s="482">
        <f>U44*'Price_Technical Assumption'!U30/1000</f>
        <v>46.386616499999995</v>
      </c>
      <c r="V34" s="482">
        <f>V44*'Price_Technical Assumption'!V30/1000</f>
        <v>46.386616499999995</v>
      </c>
      <c r="W34" s="482">
        <f>W44*'Price_Technical Assumption'!W30/1000</f>
        <v>46.386616499999995</v>
      </c>
      <c r="X34" s="482">
        <f>X44*'Price_Technical Assumption'!X30/1000</f>
        <v>46.386616499999995</v>
      </c>
      <c r="Y34" s="482">
        <f>Y44*'Price_Technical Assumption'!Y30/1000</f>
        <v>23.459898000000003</v>
      </c>
      <c r="Z34" s="482">
        <f>Z44*'Price_Technical Assumption'!Z30/1000</f>
        <v>23.459898000000003</v>
      </c>
      <c r="AA34" s="482">
        <f>AA44*'Price_Technical Assumption'!AA30/1000</f>
        <v>23.459898000000003</v>
      </c>
      <c r="AB34" s="482">
        <f>AB44*'Price_Technical Assumption'!AB30/1000</f>
        <v>23.459898000000003</v>
      </c>
      <c r="AC34" s="482">
        <f>AC44*'Price_Technical Assumption'!AC30/1000</f>
        <v>23.459898000000003</v>
      </c>
      <c r="AD34" s="482">
        <f>AD44*'Price_Technical Assumption'!AD30/1000</f>
        <v>23.459898000000003</v>
      </c>
      <c r="AE34" s="482">
        <f>AE44*'Price_Technical Assumption'!AE30/1000</f>
        <v>23.459898000000003</v>
      </c>
      <c r="AF34" s="482">
        <f>AF44*'Price_Technical Assumption'!AF30/1000</f>
        <v>23.459898000000003</v>
      </c>
      <c r="AG34" s="482">
        <f>AG44*'Price_Technical Assumption'!AG30/1000</f>
        <v>23.459898000000003</v>
      </c>
      <c r="AH34" s="482">
        <f>AH44*'Price_Technical Assumption'!AH30/1000</f>
        <v>23.459898000000003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397</v>
      </c>
      <c r="C35" s="462"/>
      <c r="D35" s="499">
        <f>Assumptions!$H$60*(1+Assumptions!$N$11)^(D7)</f>
        <v>2.0671101299803727</v>
      </c>
      <c r="E35" s="499">
        <f>Assumptions!$H$60*(1+Assumptions!$N$11)^(E7)</f>
        <v>2.1084523325799802</v>
      </c>
      <c r="F35" s="499">
        <f>Assumptions!$H$60*(1+Assumptions!$N$11)^(F7)</f>
        <v>2.15062137923158</v>
      </c>
      <c r="G35" s="499">
        <f>Assumptions!$H$60*(1+Assumptions!$N$11)^(G7)</f>
        <v>2.1936338068162118</v>
      </c>
      <c r="H35" s="499">
        <f>Assumptions!$H$60*(1+Assumptions!$N$11)^(H7)</f>
        <v>2.2375064829525355</v>
      </c>
      <c r="I35" s="499">
        <f>Assumptions!$H$60*(1+Assumptions!$N$11)^(I7)</f>
        <v>2.2822566126115866</v>
      </c>
      <c r="J35" s="499">
        <f>Assumptions!$H$60*(1+Assumptions!$N$11)^(J7)</f>
        <v>2.3279017448638184</v>
      </c>
      <c r="K35" s="499">
        <f>Assumptions!$H$60*(1+Assumptions!$N$11)^(K7)</f>
        <v>2.3744597797610947</v>
      </c>
      <c r="L35" s="499">
        <f>Assumptions!$H$60*(1+Assumptions!$N$11)^(L7)</f>
        <v>2.4219489753563166</v>
      </c>
      <c r="M35" s="499">
        <f>Assumptions!$H$60*(1+Assumptions!$N$11)^(M7)</f>
        <v>2.4703879548634431</v>
      </c>
      <c r="N35" s="499">
        <f>Assumptions!$H$60*(1+Assumptions!$N$11)^(N7)</f>
        <v>2.5197957139607121</v>
      </c>
      <c r="O35" s="499">
        <f>Assumptions!$H$60*(1+Assumptions!$N$11)^(O7)</f>
        <v>2.5701916282399262</v>
      </c>
      <c r="P35" s="499">
        <f>Assumptions!$H$60*(1+Assumptions!$N$11)^(P7)</f>
        <v>2.6215954608047247</v>
      </c>
      <c r="Q35" s="499">
        <f>Assumptions!$H$60*(1+Assumptions!$N$11)^(Q7)</f>
        <v>2.6740273700208195</v>
      </c>
      <c r="R35" s="499">
        <f>Assumptions!$H$60*(1+Assumptions!$N$11)^(R7)</f>
        <v>2.727507917421236</v>
      </c>
      <c r="S35" s="499">
        <f>Assumptions!$H$60*(1+Assumptions!$N$11)^(S7)</f>
        <v>2.7820580757696605</v>
      </c>
      <c r="T35" s="499">
        <f>Assumptions!$H$60*(1+Assumptions!$N$11)^(T7)</f>
        <v>2.8376992372850536</v>
      </c>
      <c r="U35" s="499">
        <f>Assumptions!$H$60*(1+Assumptions!$N$11)^(U7)</f>
        <v>2.8944532220307546</v>
      </c>
      <c r="V35" s="499">
        <f>Assumptions!$H$60*(1+Assumptions!$N$11)^(V7)</f>
        <v>2.9523422864713695</v>
      </c>
      <c r="W35" s="499">
        <f>Assumptions!$H$60*(1+Assumptions!$N$11)^(W7)</f>
        <v>3.0113891322007973</v>
      </c>
      <c r="X35" s="499">
        <f>Assumptions!$H$60*(1+Assumptions!$N$11)^(X7)</f>
        <v>3.0716169148448134</v>
      </c>
      <c r="Y35" s="499">
        <f>Assumptions!$H$60*(1+Assumptions!$N$11)^(Y7)</f>
        <v>3.1330492531417096</v>
      </c>
      <c r="Z35" s="499">
        <f>Assumptions!$H$60*(1+Assumptions!$N$11)^(Z7)</f>
        <v>3.1957102382045437</v>
      </c>
      <c r="AA35" s="499">
        <f>Assumptions!$H$60*(1+Assumptions!$N$11)^(AA7)</f>
        <v>3.2596244429686347</v>
      </c>
      <c r="AB35" s="499">
        <f>Assumptions!$H$60*(1+Assumptions!$N$11)^(AB7)</f>
        <v>3.3248169318280074</v>
      </c>
      <c r="AC35" s="499">
        <f>Assumptions!$H$60*(1+Assumptions!$N$11)^(AC7)</f>
        <v>3.3913132704645679</v>
      </c>
      <c r="AD35" s="499">
        <f>Assumptions!$H$60*(1+Assumptions!$N$11)^(AD7)</f>
        <v>3.4591395358738595</v>
      </c>
      <c r="AE35" s="499">
        <f>Assumptions!$H$60*(1+Assumptions!$N$11)^(AE7)</f>
        <v>3.5283223265913368</v>
      </c>
      <c r="AF35" s="499">
        <f>Assumptions!$H$60*(1+Assumptions!$N$11)^(AF7)</f>
        <v>3.5988887731231638</v>
      </c>
      <c r="AG35" s="499">
        <f>Assumptions!$H$60*(1+Assumptions!$N$11)^(AG7)</f>
        <v>3.6708665485856269</v>
      </c>
      <c r="AH35" s="499">
        <f>Assumptions!$H$60*(1+Assumptions!$N$11)^(AH7)</f>
        <v>3.7442838795573392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405</v>
      </c>
      <c r="C36" s="12"/>
      <c r="D36" s="479">
        <f>SUM(D34:D35)</f>
        <v>48.820363100218465</v>
      </c>
      <c r="E36" s="479">
        <f t="shared" ref="E36:AH36" si="5">SUM(E34:E35)</f>
        <v>47.427954192699026</v>
      </c>
      <c r="F36" s="479">
        <f t="shared" si="5"/>
        <v>46.871958709588725</v>
      </c>
      <c r="G36" s="479">
        <f t="shared" si="5"/>
        <v>46.723794247292396</v>
      </c>
      <c r="H36" s="479">
        <f t="shared" si="5"/>
        <v>46.736534560333482</v>
      </c>
      <c r="I36" s="479">
        <f t="shared" si="5"/>
        <v>47.478286916183009</v>
      </c>
      <c r="J36" s="479">
        <f t="shared" si="5"/>
        <v>48.612960244863814</v>
      </c>
      <c r="K36" s="479">
        <f t="shared" si="5"/>
        <v>48.749741681546816</v>
      </c>
      <c r="L36" s="479">
        <f t="shared" si="5"/>
        <v>48.797230877142034</v>
      </c>
      <c r="M36" s="479">
        <f t="shared" si="5"/>
        <v>48.84566985664916</v>
      </c>
      <c r="N36" s="479">
        <f t="shared" si="5"/>
        <v>48.89507761574643</v>
      </c>
      <c r="O36" s="479">
        <f t="shared" si="5"/>
        <v>48.945473530025644</v>
      </c>
      <c r="P36" s="479">
        <f t="shared" si="5"/>
        <v>48.996877362590446</v>
      </c>
      <c r="Q36" s="479">
        <f t="shared" si="5"/>
        <v>49.049309271806536</v>
      </c>
      <c r="R36" s="479">
        <f t="shared" si="5"/>
        <v>49.102789819206954</v>
      </c>
      <c r="S36" s="479">
        <f t="shared" si="5"/>
        <v>49.157339977555381</v>
      </c>
      <c r="T36" s="479">
        <f t="shared" si="5"/>
        <v>49.224315737285046</v>
      </c>
      <c r="U36" s="479">
        <f t="shared" si="5"/>
        <v>49.28106972203075</v>
      </c>
      <c r="V36" s="479">
        <f t="shared" si="5"/>
        <v>49.338958786471366</v>
      </c>
      <c r="W36" s="479">
        <f t="shared" si="5"/>
        <v>49.398005632200793</v>
      </c>
      <c r="X36" s="479">
        <f t="shared" si="5"/>
        <v>49.458233414844806</v>
      </c>
      <c r="Y36" s="479">
        <f t="shared" si="5"/>
        <v>26.592947253141713</v>
      </c>
      <c r="Z36" s="479">
        <f t="shared" si="5"/>
        <v>26.655608238204547</v>
      </c>
      <c r="AA36" s="479">
        <f t="shared" si="5"/>
        <v>26.719522442968639</v>
      </c>
      <c r="AB36" s="479">
        <f t="shared" si="5"/>
        <v>26.78471493182801</v>
      </c>
      <c r="AC36" s="479">
        <f t="shared" si="5"/>
        <v>26.851211270464571</v>
      </c>
      <c r="AD36" s="479">
        <f t="shared" si="5"/>
        <v>26.919037535873862</v>
      </c>
      <c r="AE36" s="479">
        <f t="shared" si="5"/>
        <v>26.988220326591339</v>
      </c>
      <c r="AF36" s="479">
        <f t="shared" si="5"/>
        <v>27.058786773123167</v>
      </c>
      <c r="AG36" s="479">
        <f t="shared" si="5"/>
        <v>27.130764548585631</v>
      </c>
      <c r="AH36" s="479">
        <f t="shared" si="5"/>
        <v>27.204181879557343</v>
      </c>
      <c r="AI36" s="482"/>
      <c r="AJ36" s="48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2"/>
      <c r="E37" s="482"/>
      <c r="F37" s="482"/>
      <c r="G37" s="482"/>
      <c r="H37" s="482"/>
      <c r="I37" s="482"/>
      <c r="J37" s="482"/>
      <c r="K37" s="482"/>
      <c r="L37" s="482"/>
      <c r="M37" s="482"/>
      <c r="N37" s="482"/>
      <c r="O37" s="482"/>
      <c r="P37" s="482"/>
      <c r="Q37" s="482"/>
      <c r="R37" s="482"/>
      <c r="S37" s="482"/>
      <c r="T37" s="482"/>
      <c r="U37" s="482"/>
      <c r="V37" s="482"/>
      <c r="W37" s="482"/>
      <c r="X37" s="482"/>
      <c r="Y37" s="482"/>
      <c r="Z37" s="482"/>
      <c r="AA37" s="482"/>
      <c r="AB37" s="482"/>
      <c r="AC37" s="482"/>
      <c r="AD37" s="482"/>
      <c r="AE37" s="482"/>
      <c r="AF37" s="482"/>
      <c r="AG37" s="482"/>
      <c r="AH37" s="48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4" t="str">
        <f>Assumptions!W14</f>
        <v>Pass-through</v>
      </c>
      <c r="B38" s="43" t="s">
        <v>230</v>
      </c>
      <c r="C38" s="12"/>
      <c r="D38" s="496">
        <f>IF($A$38="Pass-through",D36,D34)</f>
        <v>48.820363100218465</v>
      </c>
      <c r="E38" s="497">
        <f t="shared" ref="E38:AH38" si="6">IF($A$38="Pass-through",E36,E34)</f>
        <v>47.427954192699026</v>
      </c>
      <c r="F38" s="497">
        <f t="shared" si="6"/>
        <v>46.871958709588725</v>
      </c>
      <c r="G38" s="497">
        <f t="shared" si="6"/>
        <v>46.723794247292396</v>
      </c>
      <c r="H38" s="497">
        <f t="shared" si="6"/>
        <v>46.736534560333482</v>
      </c>
      <c r="I38" s="497">
        <f t="shared" si="6"/>
        <v>47.478286916183009</v>
      </c>
      <c r="J38" s="497">
        <f t="shared" si="6"/>
        <v>48.612960244863814</v>
      </c>
      <c r="K38" s="497">
        <f t="shared" si="6"/>
        <v>48.749741681546816</v>
      </c>
      <c r="L38" s="497">
        <f t="shared" si="6"/>
        <v>48.797230877142034</v>
      </c>
      <c r="M38" s="497">
        <f t="shared" si="6"/>
        <v>48.84566985664916</v>
      </c>
      <c r="N38" s="497">
        <f t="shared" si="6"/>
        <v>48.89507761574643</v>
      </c>
      <c r="O38" s="497">
        <f t="shared" si="6"/>
        <v>48.945473530025644</v>
      </c>
      <c r="P38" s="497">
        <f t="shared" si="6"/>
        <v>48.996877362590446</v>
      </c>
      <c r="Q38" s="497">
        <f t="shared" si="6"/>
        <v>49.049309271806536</v>
      </c>
      <c r="R38" s="498">
        <f t="shared" si="6"/>
        <v>49.102789819206954</v>
      </c>
      <c r="S38" s="496">
        <f t="shared" si="6"/>
        <v>49.157339977555381</v>
      </c>
      <c r="T38" s="497">
        <f t="shared" si="6"/>
        <v>49.224315737285046</v>
      </c>
      <c r="U38" s="497">
        <f t="shared" si="6"/>
        <v>49.28106972203075</v>
      </c>
      <c r="V38" s="497">
        <f t="shared" si="6"/>
        <v>49.338958786471366</v>
      </c>
      <c r="W38" s="497">
        <f t="shared" si="6"/>
        <v>49.398005632200793</v>
      </c>
      <c r="X38" s="497">
        <f t="shared" si="6"/>
        <v>49.458233414844806</v>
      </c>
      <c r="Y38" s="497">
        <f t="shared" si="6"/>
        <v>26.592947253141713</v>
      </c>
      <c r="Z38" s="497">
        <f t="shared" si="6"/>
        <v>26.655608238204547</v>
      </c>
      <c r="AA38" s="497">
        <f t="shared" si="6"/>
        <v>26.719522442968639</v>
      </c>
      <c r="AB38" s="497">
        <f t="shared" si="6"/>
        <v>26.78471493182801</v>
      </c>
      <c r="AC38" s="497">
        <f t="shared" si="6"/>
        <v>26.851211270464571</v>
      </c>
      <c r="AD38" s="497">
        <f t="shared" si="6"/>
        <v>26.919037535873862</v>
      </c>
      <c r="AE38" s="497">
        <f t="shared" si="6"/>
        <v>26.988220326591339</v>
      </c>
      <c r="AF38" s="497">
        <f t="shared" si="6"/>
        <v>27.058786773123167</v>
      </c>
      <c r="AG38" s="497">
        <f t="shared" si="6"/>
        <v>27.130764548585631</v>
      </c>
      <c r="AH38" s="498">
        <f t="shared" si="6"/>
        <v>27.204181879557343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77" t="s">
        <v>388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389</v>
      </c>
      <c r="C42" s="12"/>
      <c r="D42" s="65">
        <f>Assumptions!$H$14</f>
        <v>10300</v>
      </c>
      <c r="E42" s="65">
        <f>Assumptions!$H$14</f>
        <v>10300</v>
      </c>
      <c r="F42" s="65">
        <f>Assumptions!$H$14</f>
        <v>10300</v>
      </c>
      <c r="G42" s="65">
        <f>Assumptions!$H$14</f>
        <v>10300</v>
      </c>
      <c r="H42" s="65">
        <f>Assumptions!$H$14</f>
        <v>10300</v>
      </c>
      <c r="I42" s="65">
        <f>Assumptions!$H$14</f>
        <v>10300</v>
      </c>
      <c r="J42" s="65">
        <f>Assumptions!$H$14</f>
        <v>10300</v>
      </c>
      <c r="K42" s="65">
        <f>Assumptions!$H$14</f>
        <v>10300</v>
      </c>
      <c r="L42" s="65">
        <f>Assumptions!$H$14</f>
        <v>10300</v>
      </c>
      <c r="M42" s="65">
        <f>Assumptions!$H$14</f>
        <v>10300</v>
      </c>
      <c r="N42" s="65">
        <f>Assumptions!$H$14</f>
        <v>10300</v>
      </c>
      <c r="O42" s="65">
        <f>Assumptions!$H$14</f>
        <v>10300</v>
      </c>
      <c r="P42" s="65">
        <f>Assumptions!$H$14</f>
        <v>10300</v>
      </c>
      <c r="Q42" s="65">
        <f>Assumptions!$H$14</f>
        <v>10300</v>
      </c>
      <c r="R42" s="65">
        <f>Assumptions!$H$14</f>
        <v>10300</v>
      </c>
      <c r="S42" s="65">
        <f>Assumptions!$H$14</f>
        <v>10300</v>
      </c>
      <c r="T42" s="65">
        <f>Assumptions!$H$14</f>
        <v>10300</v>
      </c>
      <c r="U42" s="65">
        <f>Assumptions!$H$14</f>
        <v>10300</v>
      </c>
      <c r="V42" s="65">
        <f>Assumptions!$H$14</f>
        <v>10300</v>
      </c>
      <c r="W42" s="65">
        <f>Assumptions!$H$14</f>
        <v>10300</v>
      </c>
      <c r="X42" s="65">
        <f>Assumptions!$H$14</f>
        <v>10300</v>
      </c>
      <c r="Y42" s="65">
        <f>Assumptions!$H$14</f>
        <v>10300</v>
      </c>
      <c r="Z42" s="65">
        <f>Assumptions!$H$14</f>
        <v>10300</v>
      </c>
      <c r="AA42" s="65">
        <f>Assumptions!$H$14</f>
        <v>10300</v>
      </c>
      <c r="AB42" s="65">
        <f>Assumptions!$H$14</f>
        <v>10300</v>
      </c>
      <c r="AC42" s="65">
        <f>Assumptions!$H$14</f>
        <v>10300</v>
      </c>
      <c r="AD42" s="65">
        <f>Assumptions!$H$14</f>
        <v>10300</v>
      </c>
      <c r="AE42" s="65">
        <f>Assumptions!$H$14</f>
        <v>10300</v>
      </c>
      <c r="AF42" s="65">
        <f>Assumptions!$H$14</f>
        <v>10300</v>
      </c>
      <c r="AG42" s="65">
        <f>Assumptions!$H$14</f>
        <v>10300</v>
      </c>
      <c r="AH42" s="65">
        <f>Assumptions!$H$14</f>
        <v>10300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391</v>
      </c>
      <c r="C43" s="12"/>
      <c r="D43" s="504">
        <v>0.02</v>
      </c>
      <c r="E43" s="504">
        <v>0.02</v>
      </c>
      <c r="F43" s="504">
        <v>0.02</v>
      </c>
      <c r="G43" s="504">
        <v>0.02</v>
      </c>
      <c r="H43" s="504">
        <v>0.02</v>
      </c>
      <c r="I43" s="504">
        <v>0.02</v>
      </c>
      <c r="J43" s="504">
        <v>0.02</v>
      </c>
      <c r="K43" s="504">
        <v>0.02</v>
      </c>
      <c r="L43" s="504">
        <v>0.02</v>
      </c>
      <c r="M43" s="504">
        <v>0.02</v>
      </c>
      <c r="N43" s="504">
        <v>0.02</v>
      </c>
      <c r="O43" s="504">
        <v>0.02</v>
      </c>
      <c r="P43" s="504">
        <v>0.02</v>
      </c>
      <c r="Q43" s="504">
        <v>0.02</v>
      </c>
      <c r="R43" s="504">
        <v>0.02</v>
      </c>
      <c r="S43" s="504">
        <v>0.02</v>
      </c>
      <c r="T43" s="504">
        <v>0.02</v>
      </c>
      <c r="U43" s="504">
        <v>0.02</v>
      </c>
      <c r="V43" s="504">
        <v>0.02</v>
      </c>
      <c r="W43" s="504">
        <v>0.02</v>
      </c>
      <c r="X43" s="504">
        <v>0.02</v>
      </c>
      <c r="Y43" s="504">
        <v>0.02</v>
      </c>
      <c r="Z43" s="504">
        <v>0.02</v>
      </c>
      <c r="AA43" s="504">
        <v>0.02</v>
      </c>
      <c r="AB43" s="504">
        <v>0.02</v>
      </c>
      <c r="AC43" s="504">
        <v>0.02</v>
      </c>
      <c r="AD43" s="504">
        <v>0.02</v>
      </c>
      <c r="AE43" s="504">
        <v>0.02</v>
      </c>
      <c r="AF43" s="504">
        <v>0.02</v>
      </c>
      <c r="AG43" s="504">
        <v>0.02</v>
      </c>
      <c r="AH43" s="50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390</v>
      </c>
      <c r="C44" s="12"/>
      <c r="D44" s="501">
        <f>D42*(1+D43)</f>
        <v>10506</v>
      </c>
      <c r="E44" s="502">
        <f t="shared" ref="E44:AH44" si="7">E42*(1+E43)</f>
        <v>10506</v>
      </c>
      <c r="F44" s="502">
        <f t="shared" si="7"/>
        <v>10506</v>
      </c>
      <c r="G44" s="502">
        <f t="shared" si="7"/>
        <v>10506</v>
      </c>
      <c r="H44" s="502">
        <f t="shared" si="7"/>
        <v>10506</v>
      </c>
      <c r="I44" s="502">
        <f t="shared" si="7"/>
        <v>10506</v>
      </c>
      <c r="J44" s="502">
        <f t="shared" si="7"/>
        <v>10506</v>
      </c>
      <c r="K44" s="502">
        <f t="shared" si="7"/>
        <v>10506</v>
      </c>
      <c r="L44" s="502">
        <f t="shared" si="7"/>
        <v>10506</v>
      </c>
      <c r="M44" s="502">
        <f t="shared" si="7"/>
        <v>10506</v>
      </c>
      <c r="N44" s="502">
        <f t="shared" si="7"/>
        <v>10506</v>
      </c>
      <c r="O44" s="502">
        <f t="shared" si="7"/>
        <v>10506</v>
      </c>
      <c r="P44" s="502">
        <f t="shared" si="7"/>
        <v>10506</v>
      </c>
      <c r="Q44" s="502">
        <f t="shared" si="7"/>
        <v>10506</v>
      </c>
      <c r="R44" s="503">
        <f t="shared" si="7"/>
        <v>10506</v>
      </c>
      <c r="S44" s="501">
        <f t="shared" si="7"/>
        <v>10506</v>
      </c>
      <c r="T44" s="502">
        <f t="shared" si="7"/>
        <v>10506</v>
      </c>
      <c r="U44" s="502">
        <f t="shared" si="7"/>
        <v>10506</v>
      </c>
      <c r="V44" s="502">
        <f t="shared" si="7"/>
        <v>10506</v>
      </c>
      <c r="W44" s="502">
        <f t="shared" si="7"/>
        <v>10506</v>
      </c>
      <c r="X44" s="502">
        <f t="shared" si="7"/>
        <v>10506</v>
      </c>
      <c r="Y44" s="502">
        <f t="shared" si="7"/>
        <v>10506</v>
      </c>
      <c r="Z44" s="502">
        <f t="shared" si="7"/>
        <v>10506</v>
      </c>
      <c r="AA44" s="502">
        <f t="shared" si="7"/>
        <v>10506</v>
      </c>
      <c r="AB44" s="502">
        <f t="shared" si="7"/>
        <v>10506</v>
      </c>
      <c r="AC44" s="502">
        <f t="shared" si="7"/>
        <v>10506</v>
      </c>
      <c r="AD44" s="502">
        <f t="shared" si="7"/>
        <v>10506</v>
      </c>
      <c r="AE44" s="502">
        <f t="shared" si="7"/>
        <v>10506</v>
      </c>
      <c r="AF44" s="502">
        <f t="shared" si="7"/>
        <v>10506</v>
      </c>
      <c r="AG44" s="502">
        <f t="shared" si="7"/>
        <v>10506</v>
      </c>
      <c r="AH44" s="503">
        <f t="shared" si="7"/>
        <v>10506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L22" sqref="L22"/>
    </sheetView>
  </sheetViews>
  <sheetFormatPr defaultRowHeight="12.75"/>
  <cols>
    <col min="1" max="1" width="9.140625" style="525"/>
    <col min="4" max="4" width="13.140625" customWidth="1"/>
  </cols>
  <sheetData>
    <row r="2" spans="1:7">
      <c r="B2" t="s">
        <v>420</v>
      </c>
      <c r="D2" s="517" t="s">
        <v>423</v>
      </c>
    </row>
    <row r="3" spans="1:7">
      <c r="A3" s="525" t="s">
        <v>127</v>
      </c>
      <c r="B3" t="s">
        <v>421</v>
      </c>
      <c r="F3" s="519" t="s">
        <v>23</v>
      </c>
      <c r="G3" s="519" t="s">
        <v>418</v>
      </c>
    </row>
    <row r="4" spans="1:7">
      <c r="A4" s="525">
        <v>37257</v>
      </c>
      <c r="B4">
        <v>4.5994897959183678</v>
      </c>
      <c r="F4">
        <v>2002</v>
      </c>
      <c r="G4" s="518">
        <f>D15</f>
        <v>4.3843820861678013</v>
      </c>
    </row>
    <row r="5" spans="1:7">
      <c r="A5" s="525">
        <v>37288</v>
      </c>
      <c r="B5">
        <v>4.4852040816326531</v>
      </c>
      <c r="F5">
        <v>2003</v>
      </c>
      <c r="G5" s="518">
        <f>D27</f>
        <v>4.2499291383219955</v>
      </c>
    </row>
    <row r="6" spans="1:7">
      <c r="A6" s="525">
        <v>37316</v>
      </c>
      <c r="B6">
        <v>4.353741496598639</v>
      </c>
      <c r="F6">
        <v>2004</v>
      </c>
      <c r="G6" s="518">
        <f>D39</f>
        <v>4.1938350340136061</v>
      </c>
    </row>
    <row r="7" spans="1:7">
      <c r="A7" s="525">
        <v>37347</v>
      </c>
      <c r="B7">
        <v>4.3272108843537413</v>
      </c>
      <c r="F7">
        <v>2005</v>
      </c>
      <c r="G7" s="518">
        <f>D51</f>
        <v>4.1759070294784584</v>
      </c>
    </row>
    <row r="8" spans="1:7">
      <c r="A8" s="525">
        <v>37377</v>
      </c>
      <c r="B8">
        <v>4.2715986394557834</v>
      </c>
      <c r="F8">
        <v>2006</v>
      </c>
      <c r="G8" s="518">
        <f>D63</f>
        <v>4.1729875283446711</v>
      </c>
    </row>
    <row r="9" spans="1:7">
      <c r="A9" s="525">
        <v>37408</v>
      </c>
      <c r="B9">
        <v>4.2794217687074836</v>
      </c>
      <c r="F9">
        <v>2007</v>
      </c>
      <c r="G9" s="518">
        <f>D75</f>
        <v>4.2383503401360549</v>
      </c>
    </row>
    <row r="10" spans="1:7">
      <c r="A10" s="525">
        <v>37438</v>
      </c>
      <c r="B10">
        <v>4.3008503401360549</v>
      </c>
      <c r="F10">
        <v>2008</v>
      </c>
      <c r="G10" s="518">
        <f>D87</f>
        <v>4.340476190476191</v>
      </c>
    </row>
    <row r="11" spans="1:7">
      <c r="A11" s="525">
        <v>37469</v>
      </c>
      <c r="B11">
        <v>4.3515306122448987</v>
      </c>
      <c r="F11">
        <v>2009</v>
      </c>
      <c r="G11" s="518">
        <f>D99</f>
        <v>4.3489370748299327</v>
      </c>
    </row>
    <row r="12" spans="1:7">
      <c r="A12" s="525">
        <v>37500</v>
      </c>
      <c r="B12">
        <v>4.4030612244897958</v>
      </c>
      <c r="F12">
        <v>2010</v>
      </c>
      <c r="G12" s="518">
        <f>D111</f>
        <v>4.3489370748299327</v>
      </c>
    </row>
    <row r="13" spans="1:7">
      <c r="A13" s="525">
        <v>37530</v>
      </c>
      <c r="B13">
        <v>4.3602040816326531</v>
      </c>
      <c r="F13">
        <v>2011</v>
      </c>
      <c r="G13" s="518">
        <f>D123</f>
        <v>4.3489370748299327</v>
      </c>
    </row>
    <row r="14" spans="1:7">
      <c r="A14" s="525">
        <v>37561</v>
      </c>
      <c r="B14">
        <v>4.4193877551020408</v>
      </c>
      <c r="F14">
        <v>2012</v>
      </c>
      <c r="G14" s="518">
        <f>D135</f>
        <v>4.3489370748299327</v>
      </c>
    </row>
    <row r="15" spans="1:7">
      <c r="A15" s="525">
        <v>37591</v>
      </c>
      <c r="B15">
        <v>4.4608843537414966</v>
      </c>
      <c r="D15" s="527">
        <f>AVERAGE(B4:B15)</f>
        <v>4.3843820861678013</v>
      </c>
      <c r="F15">
        <v>2013</v>
      </c>
      <c r="G15" s="518">
        <f>D147</f>
        <v>4.3489370748299327</v>
      </c>
    </row>
    <row r="16" spans="1:7">
      <c r="A16" s="525">
        <v>37622</v>
      </c>
      <c r="B16">
        <v>4.4158163265306118</v>
      </c>
      <c r="F16">
        <v>2014</v>
      </c>
      <c r="G16" s="518">
        <f>D159</f>
        <v>4.3489370748299327</v>
      </c>
    </row>
    <row r="17" spans="1:7">
      <c r="A17" s="525">
        <v>37653</v>
      </c>
      <c r="B17">
        <v>4.3137755102040813</v>
      </c>
      <c r="F17">
        <v>2015</v>
      </c>
      <c r="G17" s="518">
        <f>D171</f>
        <v>4.3489370748299327</v>
      </c>
    </row>
    <row r="18" spans="1:7">
      <c r="A18" s="525">
        <v>37681</v>
      </c>
      <c r="B18">
        <v>4.1923469387755095</v>
      </c>
      <c r="F18">
        <v>2016</v>
      </c>
      <c r="G18" s="518">
        <f>D183</f>
        <v>4.3489370748299327</v>
      </c>
    </row>
    <row r="19" spans="1:7">
      <c r="A19" s="525">
        <v>37712</v>
      </c>
      <c r="B19">
        <v>4.1744897959183671</v>
      </c>
      <c r="F19">
        <v>2017</v>
      </c>
      <c r="G19" s="518">
        <f>D195</f>
        <v>4.3489370748299327</v>
      </c>
    </row>
    <row r="20" spans="1:7">
      <c r="A20" s="525">
        <v>37742</v>
      </c>
      <c r="B20">
        <v>4.1301020408163263</v>
      </c>
      <c r="F20">
        <v>2018</v>
      </c>
      <c r="G20" s="518">
        <v>4.3499999999999996</v>
      </c>
    </row>
    <row r="21" spans="1:7">
      <c r="A21" s="525">
        <v>37773</v>
      </c>
      <c r="B21">
        <v>4.1459183673469386</v>
      </c>
      <c r="F21">
        <v>2019</v>
      </c>
      <c r="G21" s="518">
        <v>4.3499999999999996</v>
      </c>
    </row>
    <row r="22" spans="1:7">
      <c r="A22" s="525">
        <v>37803</v>
      </c>
      <c r="B22">
        <v>4.1744897959183671</v>
      </c>
      <c r="F22">
        <v>2020</v>
      </c>
      <c r="G22" s="518">
        <v>4.3499999999999996</v>
      </c>
    </row>
    <row r="23" spans="1:7">
      <c r="A23" s="525">
        <v>37834</v>
      </c>
      <c r="B23">
        <v>4.2329931972789119</v>
      </c>
      <c r="F23">
        <v>2021</v>
      </c>
      <c r="G23" s="518">
        <v>4.3499999999999996</v>
      </c>
    </row>
    <row r="24" spans="1:7">
      <c r="A24" s="525">
        <v>37865</v>
      </c>
      <c r="B24">
        <v>4.2887755102040819</v>
      </c>
      <c r="F24">
        <v>2022</v>
      </c>
      <c r="G24" s="518">
        <v>4.3499999999999996</v>
      </c>
    </row>
    <row r="25" spans="1:7">
      <c r="A25" s="525">
        <v>37895</v>
      </c>
      <c r="B25">
        <v>4.2508503401360542</v>
      </c>
      <c r="G25" s="518"/>
    </row>
    <row r="26" spans="1:7">
      <c r="A26" s="525">
        <v>37926</v>
      </c>
      <c r="B26">
        <v>4.3158163265306122</v>
      </c>
      <c r="G26" s="518"/>
    </row>
    <row r="27" spans="1:7">
      <c r="A27" s="525">
        <v>37956</v>
      </c>
      <c r="B27">
        <v>4.3637755102040821</v>
      </c>
      <c r="D27" s="527">
        <f>AVERAGE(B16:B27)</f>
        <v>4.2499291383219955</v>
      </c>
      <c r="G27" s="518"/>
    </row>
    <row r="28" spans="1:7">
      <c r="A28" s="525">
        <v>37987</v>
      </c>
      <c r="B28">
        <v>4.3258503401360544</v>
      </c>
      <c r="G28" s="518"/>
    </row>
    <row r="29" spans="1:7">
      <c r="A29" s="525">
        <v>38018</v>
      </c>
      <c r="B29">
        <v>4.2294217687074838</v>
      </c>
      <c r="G29" s="518"/>
    </row>
    <row r="30" spans="1:7">
      <c r="A30" s="525">
        <v>38047</v>
      </c>
      <c r="B30">
        <v>4.1144557823129251</v>
      </c>
    </row>
    <row r="31" spans="1:7">
      <c r="A31" s="525">
        <v>38078</v>
      </c>
      <c r="B31">
        <v>4.1030612244897959</v>
      </c>
    </row>
    <row r="32" spans="1:7">
      <c r="A32" s="525">
        <v>38108</v>
      </c>
      <c r="B32">
        <v>4.0651360544217692</v>
      </c>
    </row>
    <row r="33" spans="1:4">
      <c r="A33" s="525">
        <v>38139</v>
      </c>
      <c r="B33">
        <v>4.0865646258503396</v>
      </c>
    </row>
    <row r="34" spans="1:4">
      <c r="A34" s="525">
        <v>38169</v>
      </c>
      <c r="B34">
        <v>4.1229591836734691</v>
      </c>
    </row>
    <row r="35" spans="1:4">
      <c r="A35" s="525">
        <v>38200</v>
      </c>
      <c r="B35">
        <v>4.1872448979591832</v>
      </c>
    </row>
    <row r="36" spans="1:4">
      <c r="A36" s="525">
        <v>38231</v>
      </c>
      <c r="B36">
        <v>4.2494897959183682</v>
      </c>
    </row>
    <row r="37" spans="1:4">
      <c r="A37" s="525">
        <v>38261</v>
      </c>
      <c r="B37">
        <v>4.2180272108843546</v>
      </c>
    </row>
    <row r="38" spans="1:4">
      <c r="A38" s="525">
        <v>38292</v>
      </c>
      <c r="B38">
        <v>4.2872448979591837</v>
      </c>
    </row>
    <row r="39" spans="1:4">
      <c r="A39" s="525">
        <v>38322</v>
      </c>
      <c r="B39">
        <v>4.3365646258503405</v>
      </c>
      <c r="D39" s="527">
        <f>AVERAGE(B28:B39)</f>
        <v>4.1938350340136061</v>
      </c>
    </row>
    <row r="40" spans="1:4">
      <c r="A40" s="525">
        <v>38353</v>
      </c>
      <c r="B40">
        <v>4.3001700680272101</v>
      </c>
    </row>
    <row r="41" spans="1:4">
      <c r="A41" s="525">
        <v>38384</v>
      </c>
      <c r="B41">
        <v>4.2051020408163264</v>
      </c>
    </row>
    <row r="42" spans="1:4">
      <c r="A42" s="525">
        <v>38412</v>
      </c>
      <c r="B42">
        <v>4.0914965986394556</v>
      </c>
    </row>
    <row r="43" spans="1:4">
      <c r="A43" s="525">
        <v>38443</v>
      </c>
      <c r="B43">
        <v>4.0816326530612237</v>
      </c>
    </row>
    <row r="44" spans="1:4">
      <c r="A44" s="525">
        <v>38473</v>
      </c>
      <c r="B44">
        <v>4.0450680272108848</v>
      </c>
    </row>
    <row r="45" spans="1:4">
      <c r="A45" s="525">
        <v>38504</v>
      </c>
      <c r="B45">
        <v>4.0680272108843543</v>
      </c>
    </row>
    <row r="46" spans="1:4">
      <c r="A46" s="525">
        <v>38534</v>
      </c>
      <c r="B46">
        <v>4.1057823129251698</v>
      </c>
    </row>
    <row r="47" spans="1:4">
      <c r="A47" s="525">
        <v>38565</v>
      </c>
      <c r="B47">
        <v>4.171598639455782</v>
      </c>
    </row>
    <row r="48" spans="1:4">
      <c r="A48" s="525">
        <v>38596</v>
      </c>
      <c r="B48">
        <v>4.2352040816326539</v>
      </c>
    </row>
    <row r="49" spans="1:4">
      <c r="A49" s="525">
        <v>38626</v>
      </c>
      <c r="B49">
        <v>4.2051020408163264</v>
      </c>
    </row>
    <row r="50" spans="1:4">
      <c r="A50" s="525">
        <v>38657</v>
      </c>
      <c r="B50">
        <v>4.2758503401360546</v>
      </c>
    </row>
    <row r="51" spans="1:4">
      <c r="A51" s="525">
        <v>38687</v>
      </c>
      <c r="B51">
        <v>4.3258503401360544</v>
      </c>
      <c r="D51" s="527">
        <f>AVERAGE(B40:B51)</f>
        <v>4.1759070294784584</v>
      </c>
    </row>
    <row r="52" spans="1:4">
      <c r="A52" s="525">
        <v>38718</v>
      </c>
      <c r="B52">
        <v>4.2901360544217688</v>
      </c>
    </row>
    <row r="53" spans="1:4">
      <c r="A53" s="525">
        <v>38749</v>
      </c>
      <c r="B53">
        <v>4.1965986394557824</v>
      </c>
    </row>
    <row r="54" spans="1:4">
      <c r="A54" s="525">
        <v>38777</v>
      </c>
      <c r="B54">
        <v>4.0843537414965976</v>
      </c>
    </row>
    <row r="55" spans="1:4">
      <c r="A55" s="525">
        <v>38808</v>
      </c>
      <c r="B55">
        <v>4.0751700680272105</v>
      </c>
    </row>
    <row r="56" spans="1:4">
      <c r="A56" s="525">
        <v>38838</v>
      </c>
      <c r="B56">
        <v>4.0394557823129249</v>
      </c>
    </row>
    <row r="57" spans="1:4">
      <c r="A57" s="525">
        <v>38869</v>
      </c>
      <c r="B57">
        <v>4.0637755102040813</v>
      </c>
    </row>
    <row r="58" spans="1:4">
      <c r="A58" s="525">
        <v>38899</v>
      </c>
      <c r="B58">
        <v>4.1022108843537417</v>
      </c>
    </row>
    <row r="59" spans="1:4">
      <c r="A59" s="525">
        <v>38930</v>
      </c>
      <c r="B59">
        <v>4.16938775510204</v>
      </c>
    </row>
    <row r="60" spans="1:4">
      <c r="A60" s="525">
        <v>38961</v>
      </c>
      <c r="B60">
        <v>4.2336734693877549</v>
      </c>
    </row>
    <row r="61" spans="1:4">
      <c r="A61" s="525">
        <v>38991</v>
      </c>
      <c r="B61">
        <v>4.2044217687074825</v>
      </c>
    </row>
    <row r="62" spans="1:4">
      <c r="A62" s="525">
        <v>39022</v>
      </c>
      <c r="B62">
        <v>4.2794217687074836</v>
      </c>
    </row>
    <row r="63" spans="1:4">
      <c r="A63" s="525">
        <v>39052</v>
      </c>
      <c r="B63">
        <v>4.3372448979591844</v>
      </c>
      <c r="D63" s="527">
        <f>AVERAGE(B52:B63)</f>
        <v>4.1729875283446711</v>
      </c>
    </row>
    <row r="64" spans="1:4">
      <c r="A64" s="525">
        <v>39083</v>
      </c>
      <c r="B64">
        <v>4.3108843537414963</v>
      </c>
    </row>
    <row r="65" spans="1:4">
      <c r="A65" s="525">
        <v>39114</v>
      </c>
      <c r="B65">
        <v>4.2244897959183678</v>
      </c>
    </row>
    <row r="66" spans="1:4">
      <c r="A66" s="525">
        <v>39142</v>
      </c>
      <c r="B66">
        <v>4.1215986394557822</v>
      </c>
    </row>
    <row r="67" spans="1:4">
      <c r="A67" s="525">
        <v>39173</v>
      </c>
      <c r="B67">
        <v>4.1200680272108841</v>
      </c>
    </row>
    <row r="68" spans="1:4">
      <c r="A68" s="525">
        <v>39203</v>
      </c>
      <c r="B68">
        <v>4.0937074829931976</v>
      </c>
    </row>
    <row r="69" spans="1:4">
      <c r="A69" s="525">
        <v>39234</v>
      </c>
      <c r="B69">
        <v>4.1258503401360542</v>
      </c>
    </row>
    <row r="70" spans="1:4">
      <c r="A70" s="525">
        <v>39264</v>
      </c>
      <c r="B70">
        <v>4.172959183673469</v>
      </c>
    </row>
    <row r="71" spans="1:4">
      <c r="A71" s="525">
        <v>39295</v>
      </c>
      <c r="B71">
        <v>4.2486394557823131</v>
      </c>
    </row>
    <row r="72" spans="1:4">
      <c r="A72" s="525">
        <v>39326</v>
      </c>
      <c r="B72">
        <v>4.3209183673469393</v>
      </c>
    </row>
    <row r="73" spans="1:4">
      <c r="A73" s="525">
        <v>39356</v>
      </c>
      <c r="B73">
        <v>4.3008503401360549</v>
      </c>
    </row>
    <row r="74" spans="1:4">
      <c r="A74" s="525">
        <v>39387</v>
      </c>
      <c r="B74">
        <v>4.3807823129251702</v>
      </c>
    </row>
    <row r="75" spans="1:4">
      <c r="A75" s="525">
        <v>39417</v>
      </c>
      <c r="B75">
        <v>4.4394557823129261</v>
      </c>
      <c r="D75" s="527">
        <f>AVERAGE(B64:B75)</f>
        <v>4.2383503401360549</v>
      </c>
    </row>
    <row r="76" spans="1:4">
      <c r="A76" s="525">
        <v>39448</v>
      </c>
      <c r="B76">
        <v>4.4129251700680276</v>
      </c>
    </row>
    <row r="77" spans="1:4">
      <c r="A77" s="525">
        <v>39479</v>
      </c>
      <c r="B77">
        <v>4.3272108843537413</v>
      </c>
    </row>
    <row r="78" spans="1:4">
      <c r="A78" s="525">
        <v>39508</v>
      </c>
      <c r="B78">
        <v>4.2229591836734688</v>
      </c>
    </row>
    <row r="79" spans="1:4">
      <c r="A79" s="525">
        <v>39539</v>
      </c>
      <c r="B79">
        <v>4.2229591836734688</v>
      </c>
    </row>
    <row r="80" spans="1:4">
      <c r="A80" s="525">
        <v>39569</v>
      </c>
      <c r="B80">
        <v>4.1959183673469393</v>
      </c>
    </row>
    <row r="81" spans="1:4">
      <c r="A81" s="525">
        <v>39600</v>
      </c>
      <c r="B81">
        <v>4.2272108843537408</v>
      </c>
    </row>
    <row r="82" spans="1:4">
      <c r="A82" s="525">
        <v>39630</v>
      </c>
      <c r="B82">
        <v>4.2758503401360546</v>
      </c>
    </row>
    <row r="83" spans="1:4">
      <c r="A83" s="525">
        <v>39661</v>
      </c>
      <c r="B83">
        <v>4.3501700680272108</v>
      </c>
    </row>
    <row r="84" spans="1:4">
      <c r="A84" s="525">
        <v>39692</v>
      </c>
      <c r="B84">
        <v>4.4229591836734699</v>
      </c>
    </row>
    <row r="85" spans="1:4">
      <c r="A85" s="525">
        <v>39722</v>
      </c>
      <c r="B85">
        <v>4.4037414965986397</v>
      </c>
    </row>
    <row r="86" spans="1:4">
      <c r="A86" s="525">
        <v>39753</v>
      </c>
      <c r="B86">
        <v>4.4823129251700671</v>
      </c>
    </row>
    <row r="87" spans="1:4">
      <c r="A87" s="525">
        <v>39783</v>
      </c>
      <c r="B87">
        <v>4.5414965986394558</v>
      </c>
      <c r="D87" s="527">
        <f>AVERAGE(B76:B87)</f>
        <v>4.340476190476191</v>
      </c>
    </row>
    <row r="88" spans="1:4">
      <c r="A88" s="525">
        <v>39814</v>
      </c>
      <c r="B88">
        <v>4.5144557823129254</v>
      </c>
    </row>
    <row r="89" spans="1:4">
      <c r="A89" s="525">
        <v>39845</v>
      </c>
      <c r="B89">
        <v>4.3272108843537413</v>
      </c>
    </row>
    <row r="90" spans="1:4">
      <c r="A90" s="525">
        <v>39873</v>
      </c>
      <c r="B90">
        <v>4.2229591836734688</v>
      </c>
    </row>
    <row r="91" spans="1:4">
      <c r="A91" s="525">
        <v>39904</v>
      </c>
      <c r="B91">
        <v>4.2229591836734688</v>
      </c>
    </row>
    <row r="92" spans="1:4">
      <c r="A92" s="525">
        <v>39934</v>
      </c>
      <c r="B92">
        <v>4.1959183673469393</v>
      </c>
    </row>
    <row r="93" spans="1:4">
      <c r="A93" s="525">
        <v>39965</v>
      </c>
      <c r="B93">
        <v>4.2272108843537408</v>
      </c>
    </row>
    <row r="94" spans="1:4">
      <c r="A94" s="525">
        <v>39995</v>
      </c>
      <c r="B94">
        <v>4.2758503401360546</v>
      </c>
    </row>
    <row r="95" spans="1:4">
      <c r="A95" s="525">
        <v>40026</v>
      </c>
      <c r="B95">
        <v>4.3501700680272108</v>
      </c>
    </row>
    <row r="96" spans="1:4">
      <c r="A96" s="525">
        <v>40057</v>
      </c>
      <c r="B96">
        <v>4.4229591836734699</v>
      </c>
    </row>
    <row r="97" spans="1:4">
      <c r="A97" s="525">
        <v>40087</v>
      </c>
      <c r="B97">
        <v>4.4037414965986397</v>
      </c>
    </row>
    <row r="98" spans="1:4">
      <c r="A98" s="525">
        <v>40118</v>
      </c>
      <c r="B98">
        <v>4.4823129251700671</v>
      </c>
    </row>
    <row r="99" spans="1:4">
      <c r="A99" s="525">
        <v>40148</v>
      </c>
      <c r="B99">
        <v>4.5414965986394558</v>
      </c>
      <c r="D99" s="527">
        <f>AVERAGE(B88:B99)</f>
        <v>4.3489370748299327</v>
      </c>
    </row>
    <row r="100" spans="1:4">
      <c r="A100" s="525">
        <v>40179</v>
      </c>
      <c r="B100">
        <v>4.5144557823129254</v>
      </c>
    </row>
    <row r="101" spans="1:4">
      <c r="A101" s="525">
        <v>40210</v>
      </c>
      <c r="B101">
        <v>4.3272108843537413</v>
      </c>
    </row>
    <row r="102" spans="1:4">
      <c r="A102" s="525">
        <v>40238</v>
      </c>
      <c r="B102">
        <v>4.2229591836734688</v>
      </c>
    </row>
    <row r="103" spans="1:4">
      <c r="A103" s="525">
        <v>40269</v>
      </c>
      <c r="B103">
        <v>4.2229591836734688</v>
      </c>
    </row>
    <row r="104" spans="1:4">
      <c r="A104" s="525">
        <v>40299</v>
      </c>
      <c r="B104">
        <v>4.1959183673469393</v>
      </c>
    </row>
    <row r="105" spans="1:4">
      <c r="A105" s="525">
        <v>40330</v>
      </c>
      <c r="B105">
        <v>4.2272108843537408</v>
      </c>
    </row>
    <row r="106" spans="1:4">
      <c r="A106" s="525">
        <v>40360</v>
      </c>
      <c r="B106">
        <v>4.2758503401360546</v>
      </c>
    </row>
    <row r="107" spans="1:4">
      <c r="A107" s="525">
        <v>40391</v>
      </c>
      <c r="B107">
        <v>4.3501700680272108</v>
      </c>
    </row>
    <row r="108" spans="1:4">
      <c r="A108" s="525">
        <v>40422</v>
      </c>
      <c r="B108">
        <v>4.4229591836734699</v>
      </c>
    </row>
    <row r="109" spans="1:4">
      <c r="A109" s="525">
        <v>40452</v>
      </c>
      <c r="B109">
        <v>4.4037414965986397</v>
      </c>
    </row>
    <row r="110" spans="1:4">
      <c r="A110" s="525">
        <v>40483</v>
      </c>
      <c r="B110">
        <v>4.4823129251700671</v>
      </c>
    </row>
    <row r="111" spans="1:4">
      <c r="A111" s="525">
        <v>40513</v>
      </c>
      <c r="B111">
        <v>4.5414965986394558</v>
      </c>
      <c r="D111" s="527">
        <f>AVERAGE(B100:B111)</f>
        <v>4.3489370748299327</v>
      </c>
    </row>
    <row r="112" spans="1:4">
      <c r="A112" s="525">
        <v>40544</v>
      </c>
      <c r="B112">
        <v>4.5144557823129254</v>
      </c>
    </row>
    <row r="113" spans="1:4">
      <c r="A113" s="525">
        <v>40575</v>
      </c>
      <c r="B113">
        <v>4.3272108843537413</v>
      </c>
    </row>
    <row r="114" spans="1:4">
      <c r="A114" s="525">
        <v>40603</v>
      </c>
      <c r="B114">
        <v>4.2229591836734688</v>
      </c>
    </row>
    <row r="115" spans="1:4">
      <c r="A115" s="525">
        <v>40634</v>
      </c>
      <c r="B115">
        <v>4.2229591836734688</v>
      </c>
    </row>
    <row r="116" spans="1:4">
      <c r="A116" s="525">
        <v>40664</v>
      </c>
      <c r="B116">
        <v>4.1959183673469393</v>
      </c>
    </row>
    <row r="117" spans="1:4">
      <c r="A117" s="525">
        <v>40695</v>
      </c>
      <c r="B117">
        <v>4.2272108843537408</v>
      </c>
    </row>
    <row r="118" spans="1:4">
      <c r="A118" s="525">
        <v>40725</v>
      </c>
      <c r="B118">
        <v>4.2758503401360546</v>
      </c>
    </row>
    <row r="119" spans="1:4">
      <c r="A119" s="525">
        <v>40756</v>
      </c>
      <c r="B119">
        <v>4.3501700680272108</v>
      </c>
    </row>
    <row r="120" spans="1:4">
      <c r="A120" s="525">
        <v>40787</v>
      </c>
      <c r="B120">
        <v>4.4229591836734699</v>
      </c>
    </row>
    <row r="121" spans="1:4">
      <c r="A121" s="525">
        <v>40817</v>
      </c>
      <c r="B121">
        <v>4.4037414965986397</v>
      </c>
    </row>
    <row r="122" spans="1:4">
      <c r="A122" s="525">
        <v>40848</v>
      </c>
      <c r="B122">
        <v>4.4823129251700671</v>
      </c>
    </row>
    <row r="123" spans="1:4">
      <c r="A123" s="525">
        <v>40878</v>
      </c>
      <c r="B123">
        <v>4.5414965986394558</v>
      </c>
      <c r="D123" s="527">
        <f>AVERAGE(B112:B123)</f>
        <v>4.3489370748299327</v>
      </c>
    </row>
    <row r="124" spans="1:4">
      <c r="A124" s="525">
        <v>40909</v>
      </c>
      <c r="B124">
        <v>4.5144557823129254</v>
      </c>
    </row>
    <row r="125" spans="1:4">
      <c r="A125" s="525">
        <v>40940</v>
      </c>
      <c r="B125">
        <v>4.3272108843537413</v>
      </c>
    </row>
    <row r="126" spans="1:4">
      <c r="A126" s="525">
        <v>40969</v>
      </c>
      <c r="B126">
        <v>4.2229591836734688</v>
      </c>
    </row>
    <row r="127" spans="1:4">
      <c r="A127" s="525">
        <v>41000</v>
      </c>
      <c r="B127">
        <v>4.2229591836734688</v>
      </c>
    </row>
    <row r="128" spans="1:4">
      <c r="A128" s="525">
        <v>41030</v>
      </c>
      <c r="B128">
        <v>4.1959183673469393</v>
      </c>
    </row>
    <row r="129" spans="1:4">
      <c r="A129" s="525">
        <v>41061</v>
      </c>
      <c r="B129">
        <v>4.2272108843537408</v>
      </c>
    </row>
    <row r="130" spans="1:4">
      <c r="A130" s="525">
        <v>41091</v>
      </c>
      <c r="B130">
        <v>4.2758503401360546</v>
      </c>
    </row>
    <row r="131" spans="1:4">
      <c r="A131" s="525">
        <v>41122</v>
      </c>
      <c r="B131">
        <v>4.3501700680272108</v>
      </c>
    </row>
    <row r="132" spans="1:4">
      <c r="A132" s="525">
        <v>41153</v>
      </c>
      <c r="B132">
        <v>4.4229591836734699</v>
      </c>
    </row>
    <row r="133" spans="1:4">
      <c r="A133" s="525">
        <v>41183</v>
      </c>
      <c r="B133">
        <v>4.4037414965986397</v>
      </c>
    </row>
    <row r="134" spans="1:4">
      <c r="A134" s="525">
        <v>41214</v>
      </c>
      <c r="B134">
        <v>4.4823129251700671</v>
      </c>
    </row>
    <row r="135" spans="1:4">
      <c r="A135" s="525">
        <v>41244</v>
      </c>
      <c r="B135">
        <v>4.5414965986394558</v>
      </c>
      <c r="D135" s="527">
        <f>AVERAGE(B124:B135)</f>
        <v>4.3489370748299327</v>
      </c>
    </row>
    <row r="136" spans="1:4">
      <c r="A136" s="525">
        <v>41275</v>
      </c>
      <c r="B136">
        <v>4.5144557823129254</v>
      </c>
    </row>
    <row r="137" spans="1:4">
      <c r="A137" s="525">
        <v>41306</v>
      </c>
      <c r="B137">
        <v>4.3272108843537413</v>
      </c>
    </row>
    <row r="138" spans="1:4">
      <c r="A138" s="525">
        <v>41334</v>
      </c>
      <c r="B138">
        <v>4.2229591836734688</v>
      </c>
    </row>
    <row r="139" spans="1:4">
      <c r="A139" s="525">
        <v>41365</v>
      </c>
      <c r="B139">
        <v>4.2229591836734688</v>
      </c>
    </row>
    <row r="140" spans="1:4">
      <c r="A140" s="525">
        <v>41395</v>
      </c>
      <c r="B140">
        <v>4.1959183673469393</v>
      </c>
    </row>
    <row r="141" spans="1:4">
      <c r="A141" s="525">
        <v>41426</v>
      </c>
      <c r="B141">
        <v>4.2272108843537408</v>
      </c>
    </row>
    <row r="142" spans="1:4">
      <c r="A142" s="525">
        <v>41456</v>
      </c>
      <c r="B142">
        <v>4.2758503401360546</v>
      </c>
    </row>
    <row r="143" spans="1:4">
      <c r="A143" s="525">
        <v>41487</v>
      </c>
      <c r="B143">
        <v>4.3501700680272108</v>
      </c>
    </row>
    <row r="144" spans="1:4">
      <c r="A144" s="525">
        <v>41518</v>
      </c>
      <c r="B144">
        <v>4.4229591836734699</v>
      </c>
    </row>
    <row r="145" spans="1:4">
      <c r="A145" s="525">
        <v>41548</v>
      </c>
      <c r="B145">
        <v>4.4037414965986397</v>
      </c>
    </row>
    <row r="146" spans="1:4">
      <c r="A146" s="525">
        <v>41579</v>
      </c>
      <c r="B146">
        <v>4.4823129251700671</v>
      </c>
    </row>
    <row r="147" spans="1:4">
      <c r="A147" s="525">
        <v>41609</v>
      </c>
      <c r="B147">
        <v>4.5414965986394558</v>
      </c>
      <c r="D147" s="527">
        <f>AVERAGE(B136:B147)</f>
        <v>4.3489370748299327</v>
      </c>
    </row>
    <row r="148" spans="1:4">
      <c r="A148" s="525">
        <v>41640</v>
      </c>
      <c r="B148">
        <v>4.5144557823129254</v>
      </c>
    </row>
    <row r="149" spans="1:4">
      <c r="A149" s="525">
        <v>41671</v>
      </c>
      <c r="B149">
        <v>4.3272108843537413</v>
      </c>
    </row>
    <row r="150" spans="1:4">
      <c r="A150" s="525">
        <v>41699</v>
      </c>
      <c r="B150">
        <v>4.2229591836734688</v>
      </c>
    </row>
    <row r="151" spans="1:4">
      <c r="A151" s="525">
        <v>41730</v>
      </c>
      <c r="B151">
        <v>4.2229591836734688</v>
      </c>
    </row>
    <row r="152" spans="1:4">
      <c r="A152" s="525">
        <v>41760</v>
      </c>
      <c r="B152">
        <v>4.1959183673469393</v>
      </c>
    </row>
    <row r="153" spans="1:4">
      <c r="A153" s="525">
        <v>41791</v>
      </c>
      <c r="B153">
        <v>4.2272108843537408</v>
      </c>
    </row>
    <row r="154" spans="1:4">
      <c r="A154" s="525">
        <v>41821</v>
      </c>
      <c r="B154">
        <v>4.2758503401360546</v>
      </c>
    </row>
    <row r="155" spans="1:4">
      <c r="A155" s="525">
        <v>41852</v>
      </c>
      <c r="B155">
        <v>4.3501700680272108</v>
      </c>
    </row>
    <row r="156" spans="1:4">
      <c r="A156" s="525">
        <v>41883</v>
      </c>
      <c r="B156">
        <v>4.4229591836734699</v>
      </c>
    </row>
    <row r="157" spans="1:4">
      <c r="A157" s="525">
        <v>41913</v>
      </c>
      <c r="B157">
        <v>4.4037414965986397</v>
      </c>
    </row>
    <row r="158" spans="1:4">
      <c r="A158" s="525">
        <v>41944</v>
      </c>
      <c r="B158">
        <v>4.4823129251700671</v>
      </c>
    </row>
    <row r="159" spans="1:4">
      <c r="A159" s="525">
        <v>41974</v>
      </c>
      <c r="B159">
        <v>4.5414965986394558</v>
      </c>
      <c r="D159" s="527">
        <f>AVERAGE(B148:B159)</f>
        <v>4.3489370748299327</v>
      </c>
    </row>
    <row r="160" spans="1:4">
      <c r="A160" s="525">
        <v>42005</v>
      </c>
      <c r="B160">
        <v>4.5144557823129254</v>
      </c>
    </row>
    <row r="161" spans="1:4">
      <c r="A161" s="525">
        <v>42036</v>
      </c>
      <c r="B161">
        <v>4.3272108843537413</v>
      </c>
    </row>
    <row r="162" spans="1:4">
      <c r="A162" s="525">
        <v>42064</v>
      </c>
      <c r="B162">
        <v>4.2229591836734688</v>
      </c>
    </row>
    <row r="163" spans="1:4">
      <c r="A163" s="525">
        <v>42095</v>
      </c>
      <c r="B163">
        <v>4.2229591836734688</v>
      </c>
    </row>
    <row r="164" spans="1:4">
      <c r="A164" s="525">
        <v>42125</v>
      </c>
      <c r="B164">
        <v>4.1959183673469393</v>
      </c>
    </row>
    <row r="165" spans="1:4">
      <c r="A165" s="525">
        <v>42156</v>
      </c>
      <c r="B165">
        <v>4.2272108843537408</v>
      </c>
    </row>
    <row r="166" spans="1:4">
      <c r="A166" s="525">
        <v>42186</v>
      </c>
      <c r="B166">
        <v>4.2758503401360546</v>
      </c>
    </row>
    <row r="167" spans="1:4">
      <c r="A167" s="525">
        <v>42217</v>
      </c>
      <c r="B167">
        <v>4.3501700680272108</v>
      </c>
    </row>
    <row r="168" spans="1:4">
      <c r="A168" s="525">
        <v>42248</v>
      </c>
      <c r="B168">
        <v>4.4229591836734699</v>
      </c>
    </row>
    <row r="169" spans="1:4">
      <c r="A169" s="525">
        <v>42278</v>
      </c>
      <c r="B169">
        <v>4.4037414965986397</v>
      </c>
    </row>
    <row r="170" spans="1:4">
      <c r="A170" s="525">
        <v>42309</v>
      </c>
      <c r="B170">
        <v>4.4823129251700671</v>
      </c>
    </row>
    <row r="171" spans="1:4">
      <c r="A171" s="525">
        <v>42339</v>
      </c>
      <c r="B171">
        <v>4.5414965986394558</v>
      </c>
      <c r="D171" s="527">
        <f>AVERAGE(B160:B171)</f>
        <v>4.3489370748299327</v>
      </c>
    </row>
    <row r="172" spans="1:4">
      <c r="A172" s="525">
        <v>42370</v>
      </c>
      <c r="B172">
        <v>4.5144557823129254</v>
      </c>
    </row>
    <row r="173" spans="1:4">
      <c r="A173" s="525">
        <v>42401</v>
      </c>
      <c r="B173">
        <v>4.3272108843537413</v>
      </c>
    </row>
    <row r="174" spans="1:4">
      <c r="A174" s="525">
        <v>42430</v>
      </c>
      <c r="B174">
        <v>4.2229591836734688</v>
      </c>
    </row>
    <row r="175" spans="1:4">
      <c r="A175" s="525">
        <v>42461</v>
      </c>
      <c r="B175">
        <v>4.2229591836734688</v>
      </c>
    </row>
    <row r="176" spans="1:4">
      <c r="A176" s="525">
        <v>42491</v>
      </c>
      <c r="B176">
        <v>4.1959183673469393</v>
      </c>
    </row>
    <row r="177" spans="1:4">
      <c r="A177" s="525">
        <v>42522</v>
      </c>
      <c r="B177">
        <v>4.2272108843537408</v>
      </c>
    </row>
    <row r="178" spans="1:4">
      <c r="A178" s="525">
        <v>42552</v>
      </c>
      <c r="B178">
        <v>4.2758503401360546</v>
      </c>
    </row>
    <row r="179" spans="1:4">
      <c r="A179" s="525">
        <v>42583</v>
      </c>
      <c r="B179">
        <v>4.3501700680272108</v>
      </c>
    </row>
    <row r="180" spans="1:4">
      <c r="A180" s="525">
        <v>42614</v>
      </c>
      <c r="B180">
        <v>4.4229591836734699</v>
      </c>
    </row>
    <row r="181" spans="1:4">
      <c r="A181" s="525">
        <v>42644</v>
      </c>
      <c r="B181">
        <v>4.4037414965986397</v>
      </c>
    </row>
    <row r="182" spans="1:4">
      <c r="A182" s="525">
        <v>42675</v>
      </c>
      <c r="B182">
        <v>4.4823129251700671</v>
      </c>
    </row>
    <row r="183" spans="1:4">
      <c r="A183" s="525">
        <v>42705</v>
      </c>
      <c r="B183">
        <v>4.5414965986394558</v>
      </c>
      <c r="D183" s="527">
        <f>AVERAGE(B172:B183)</f>
        <v>4.3489370748299327</v>
      </c>
    </row>
    <row r="184" spans="1:4">
      <c r="A184" s="525">
        <v>42736</v>
      </c>
      <c r="B184">
        <v>4.5144557823129254</v>
      </c>
    </row>
    <row r="185" spans="1:4">
      <c r="A185" s="525">
        <v>42767</v>
      </c>
      <c r="B185">
        <v>4.3272108843537413</v>
      </c>
    </row>
    <row r="186" spans="1:4">
      <c r="A186" s="525">
        <v>42795</v>
      </c>
      <c r="B186">
        <v>4.2229591836734688</v>
      </c>
    </row>
    <row r="187" spans="1:4">
      <c r="A187" s="525">
        <v>42826</v>
      </c>
      <c r="B187">
        <v>4.2229591836734688</v>
      </c>
    </row>
    <row r="188" spans="1:4">
      <c r="A188" s="525">
        <v>42856</v>
      </c>
      <c r="B188">
        <v>4.1959183673469393</v>
      </c>
    </row>
    <row r="189" spans="1:4">
      <c r="A189" s="525">
        <v>42887</v>
      </c>
      <c r="B189">
        <v>4.2272108843537408</v>
      </c>
    </row>
    <row r="190" spans="1:4">
      <c r="A190" s="525">
        <v>42917</v>
      </c>
      <c r="B190">
        <v>4.2758503401360546</v>
      </c>
    </row>
    <row r="191" spans="1:4">
      <c r="A191" s="525">
        <v>42948</v>
      </c>
      <c r="B191">
        <v>4.3501700680272108</v>
      </c>
    </row>
    <row r="192" spans="1:4">
      <c r="A192" s="525">
        <v>42979</v>
      </c>
      <c r="B192">
        <v>4.4229591836734699</v>
      </c>
    </row>
    <row r="193" spans="1:4">
      <c r="A193" s="525">
        <v>43009</v>
      </c>
      <c r="B193">
        <v>4.4037414965986397</v>
      </c>
    </row>
    <row r="194" spans="1:4">
      <c r="A194" s="525">
        <v>43040</v>
      </c>
      <c r="B194">
        <v>4.4823129251700671</v>
      </c>
    </row>
    <row r="195" spans="1:4">
      <c r="A195" s="525">
        <v>43070</v>
      </c>
      <c r="B195">
        <v>4.5414965986394558</v>
      </c>
      <c r="D195" s="527">
        <f>AVERAGE(B184:B195)</f>
        <v>4.3489370748299327</v>
      </c>
    </row>
    <row r="207" spans="1:4">
      <c r="D207" s="527"/>
    </row>
    <row r="219" spans="4:4">
      <c r="D219" s="527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B18" sqref="B18"/>
    </sheetView>
  </sheetViews>
  <sheetFormatPr defaultRowHeight="12.75"/>
  <cols>
    <col min="1" max="1" width="3.7109375" style="12" customWidth="1"/>
    <col min="2" max="2" width="34.28515625" style="12" customWidth="1"/>
    <col min="3" max="3" width="13.5703125" style="12" customWidth="1"/>
    <col min="4" max="4" width="7.28515625" style="12" customWidth="1"/>
    <col min="5" max="5" width="11.140625" style="12" customWidth="1"/>
    <col min="6" max="6" width="7.85546875" style="12" customWidth="1"/>
    <col min="7" max="7" width="7.42578125" style="12" customWidth="1"/>
    <col min="8" max="16384" width="9.140625" style="12"/>
  </cols>
  <sheetData>
    <row r="2" spans="2:7" ht="15.75">
      <c r="B2" s="549" t="s">
        <v>549</v>
      </c>
    </row>
    <row r="3" spans="2:7">
      <c r="B3" s="548">
        <f ca="1">NOW()</f>
        <v>41885.566044097221</v>
      </c>
    </row>
    <row r="5" spans="2:7">
      <c r="C5" s="545" t="s">
        <v>525</v>
      </c>
      <c r="D5" s="545" t="s">
        <v>524</v>
      </c>
      <c r="E5" s="545" t="s">
        <v>543</v>
      </c>
      <c r="F5" s="545"/>
      <c r="G5" s="545"/>
    </row>
    <row r="6" spans="2:7">
      <c r="C6" s="543"/>
    </row>
    <row r="7" spans="2:7" hidden="1">
      <c r="B7" s="12" t="s">
        <v>544</v>
      </c>
      <c r="C7" s="543">
        <v>5.07</v>
      </c>
      <c r="D7" s="553">
        <v>-7.9500000000000001E-2</v>
      </c>
      <c r="E7" s="558">
        <v>-61694</v>
      </c>
      <c r="F7" s="544"/>
      <c r="G7" s="544"/>
    </row>
    <row r="8" spans="2:7">
      <c r="B8" s="12" t="s">
        <v>552</v>
      </c>
      <c r="C8" s="543">
        <v>5.4</v>
      </c>
      <c r="D8" s="575">
        <v>-4.4900000000000002E-2</v>
      </c>
      <c r="E8" s="558">
        <v>-52969</v>
      </c>
      <c r="F8" s="544"/>
      <c r="G8" s="544"/>
    </row>
    <row r="9" spans="2:7">
      <c r="B9" s="12" t="s">
        <v>545</v>
      </c>
      <c r="C9" s="543">
        <v>7.84</v>
      </c>
      <c r="D9" s="575">
        <v>0.12</v>
      </c>
      <c r="E9" s="558">
        <v>5075</v>
      </c>
      <c r="F9" s="544"/>
      <c r="G9" s="544"/>
    </row>
    <row r="10" spans="2:7">
      <c r="B10" s="12" t="s">
        <v>548</v>
      </c>
      <c r="C10" s="543">
        <v>7.58</v>
      </c>
      <c r="D10" s="575">
        <v>0.1067</v>
      </c>
      <c r="E10" s="558">
        <v>0</v>
      </c>
      <c r="F10" s="544"/>
      <c r="G10" s="544"/>
    </row>
    <row r="11" spans="2:7">
      <c r="B11" s="12" t="s">
        <v>527</v>
      </c>
      <c r="C11" s="543">
        <v>7.26</v>
      </c>
      <c r="D11" s="575">
        <v>0.12</v>
      </c>
      <c r="E11" s="558">
        <v>5182</v>
      </c>
      <c r="F11" s="544"/>
      <c r="G11" s="544"/>
    </row>
    <row r="12" spans="2:7">
      <c r="C12" s="543"/>
    </row>
    <row r="13" spans="2:7" ht="13.5">
      <c r="B13" s="546" t="s">
        <v>526</v>
      </c>
      <c r="C13" s="543"/>
    </row>
    <row r="14" spans="2:7">
      <c r="B14" s="547" t="s">
        <v>551</v>
      </c>
      <c r="C14" s="543"/>
    </row>
    <row r="15" spans="2:7">
      <c r="B15" s="547" t="s">
        <v>550</v>
      </c>
      <c r="C15" s="552">
        <f>Assumptions!C60</f>
        <v>145850.27715618577</v>
      </c>
    </row>
    <row r="16" spans="2:7">
      <c r="B16" s="547" t="s">
        <v>547</v>
      </c>
      <c r="C16" s="563">
        <f>Assumptions!D60</f>
        <v>534.25009947320791</v>
      </c>
    </row>
    <row r="17" spans="2:3">
      <c r="B17" s="547" t="s">
        <v>546</v>
      </c>
      <c r="C17" s="543"/>
    </row>
    <row r="18" spans="2:3">
      <c r="B18" s="547" t="s">
        <v>553</v>
      </c>
      <c r="C18" s="543"/>
    </row>
    <row r="19" spans="2:3">
      <c r="C19" s="543"/>
    </row>
    <row r="20" spans="2:3">
      <c r="C20" s="543"/>
    </row>
    <row r="21" spans="2:3">
      <c r="C21" s="543"/>
    </row>
    <row r="22" spans="2:3">
      <c r="C22" s="543"/>
    </row>
    <row r="23" spans="2:3">
      <c r="C23" s="543"/>
    </row>
    <row r="24" spans="2:3">
      <c r="C24" s="543"/>
    </row>
    <row r="25" spans="2:3">
      <c r="C25" s="543"/>
    </row>
    <row r="26" spans="2:3">
      <c r="C26" s="543"/>
    </row>
    <row r="27" spans="2:3">
      <c r="C27" s="543"/>
    </row>
    <row r="28" spans="2:3">
      <c r="C28" s="543"/>
    </row>
    <row r="29" spans="2:3">
      <c r="C29" s="543"/>
    </row>
    <row r="30" spans="2:3">
      <c r="C30" s="543"/>
    </row>
    <row r="31" spans="2:3">
      <c r="C31" s="543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E1" sqref="E1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New Orleans, Louisiana</v>
      </c>
    </row>
    <row r="4" spans="1:33" ht="18.75">
      <c r="A4" s="60" t="s">
        <v>91</v>
      </c>
      <c r="B4" s="5"/>
    </row>
    <row r="6" spans="1:33"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56">
        <v>37256</v>
      </c>
      <c r="D8" s="356">
        <v>37621</v>
      </c>
      <c r="E8" s="356">
        <v>37986</v>
      </c>
      <c r="F8" s="356">
        <v>38352</v>
      </c>
      <c r="G8" s="356">
        <v>38717</v>
      </c>
      <c r="H8" s="356">
        <v>39082</v>
      </c>
      <c r="I8" s="356">
        <v>39447</v>
      </c>
      <c r="J8" s="356">
        <v>39813</v>
      </c>
      <c r="K8" s="356">
        <v>40178</v>
      </c>
      <c r="L8" s="356">
        <v>40543</v>
      </c>
      <c r="M8" s="356">
        <v>40908</v>
      </c>
      <c r="N8" s="356">
        <v>41274</v>
      </c>
      <c r="O8" s="356">
        <v>41639</v>
      </c>
      <c r="P8" s="356">
        <v>42004</v>
      </c>
      <c r="Q8" s="356">
        <v>42369</v>
      </c>
      <c r="R8" s="356">
        <v>42735</v>
      </c>
      <c r="S8" s="356">
        <v>43100</v>
      </c>
      <c r="T8" s="356">
        <v>43465</v>
      </c>
      <c r="U8" s="356">
        <v>43830</v>
      </c>
      <c r="V8" s="356">
        <v>44196</v>
      </c>
      <c r="W8" s="356">
        <v>44561</v>
      </c>
      <c r="X8" s="356">
        <v>44926</v>
      </c>
      <c r="Y8" s="356">
        <v>45291</v>
      </c>
      <c r="Z8" s="356">
        <v>45657</v>
      </c>
      <c r="AA8" s="356">
        <v>46022</v>
      </c>
      <c r="AB8" s="356">
        <v>46387</v>
      </c>
      <c r="AC8" s="356">
        <v>46752</v>
      </c>
      <c r="AD8" s="356">
        <v>47118</v>
      </c>
      <c r="AE8" s="356">
        <v>47483</v>
      </c>
      <c r="AF8" s="356">
        <v>47848</v>
      </c>
      <c r="AG8" s="356">
        <v>48213</v>
      </c>
    </row>
    <row r="9" spans="1:33">
      <c r="A9" s="1" t="s">
        <v>39</v>
      </c>
      <c r="B9" s="22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113</v>
      </c>
      <c r="C10" s="74">
        <f>IF(C6&lt;Assumptions!$H$19,C6*12*'Price_Technical Assumption'!D21*Assumptions!$H$68,IF(AND(B6&lt;Assumptions!$H$19,C6&gt;Assumptions!$H$19),(1-$C$6)*12*'Price_Technical Assumption'!D21*Assumptions!$H$68,0))</f>
        <v>11995.313112749089</v>
      </c>
      <c r="D10" s="74">
        <f>IF(D6&lt;Assumptions!$H$19,12*'Price_Technical Assumption'!E21*Assumptions!$H$68,IF(AND(C6&lt;Assumptions!$H$19,D6&gt;Assumptions!$H$19),(1-$C$6)*12*'Price_Technical Assumption'!E21*Assumptions!$H$68,0))</f>
        <v>17992.969669123631</v>
      </c>
      <c r="E10" s="74">
        <f>IF(E6&lt;Assumptions!$H$19,12*'Price_Technical Assumption'!F21*Assumptions!$H$68,IF(AND(D6&lt;Assumptions!$H$19,E6&gt;Assumptions!$H$19),(1-$C$6)*12*'Price_Technical Assumption'!F21*Assumptions!$H$68,0))</f>
        <v>17992.969669123631</v>
      </c>
      <c r="F10" s="74">
        <f>IF(F6&lt;Assumptions!$H$19,12*'Price_Technical Assumption'!G21*Assumptions!$H$68,IF(AND(E6&lt;Assumptions!$H$19,F6&gt;Assumptions!$H$19),(1-$C$6)*12*'Price_Technical Assumption'!G21*Assumptions!$H$68,0))</f>
        <v>17992.969669123631</v>
      </c>
      <c r="G10" s="74">
        <f>IF(G6&lt;Assumptions!$H$19,12*'Price_Technical Assumption'!H21*Assumptions!$H$68,IF(AND(F6&lt;Assumptions!$H$19,G6&gt;Assumptions!$H$19),(1-$C$6)*12*'Price_Technical Assumption'!H21*Assumptions!$H$68,0))</f>
        <v>17992.969669123631</v>
      </c>
      <c r="H10" s="74">
        <f>IF(H6&lt;Assumptions!$H$19,12*'Price_Technical Assumption'!I21*Assumptions!$H$68,IF(AND(G6&lt;Assumptions!$H$19,H6&gt;Assumptions!$H$19),(1-$C$6)*12*'Price_Technical Assumption'!I21*Assumptions!$H$68,0))</f>
        <v>17992.969669123631</v>
      </c>
      <c r="I10" s="74">
        <f>IF(I6&lt;Assumptions!$H$19,12*'Price_Technical Assumption'!J21*Assumptions!$H$68,IF(AND(H6&lt;Assumptions!$H$19,I6&gt;Assumptions!$H$19),(1-$C$6)*12*'Price_Technical Assumption'!J21*Assumptions!$H$68,0))</f>
        <v>17992.969669123631</v>
      </c>
      <c r="J10" s="74">
        <f>IF(J6&lt;Assumptions!$H$19,12*'Price_Technical Assumption'!K21*Assumptions!$H$68,IF(AND(I6&lt;Assumptions!$H$19,J6&gt;Assumptions!$H$19),(1-$C$6)*12*'Price_Technical Assumption'!K21*Assumptions!$H$68,0))</f>
        <v>17992.969669123631</v>
      </c>
      <c r="K10" s="74">
        <f>IF(K6&lt;Assumptions!$H$19,12*'Price_Technical Assumption'!L21*Assumptions!$H$68,IF(AND(J6&lt;Assumptions!$H$19,K6&gt;Assumptions!$H$19),(1-$C$6)*12*'Price_Technical Assumption'!L21*Assumptions!$H$68,0))</f>
        <v>17992.969669123631</v>
      </c>
      <c r="L10" s="74">
        <f>IF(L6&lt;Assumptions!$H$19,12*'Price_Technical Assumption'!M21*Assumptions!$H$68,IF(AND(K6&lt;Assumptions!$H$19,L6&gt;Assumptions!$H$19),(1-$C$6)*12*'Price_Technical Assumption'!M21*Assumptions!$H$68,0))</f>
        <v>17992.969669123631</v>
      </c>
      <c r="M10" s="74">
        <f>IF(M6&lt;Assumptions!$H$19,12*'Price_Technical Assumption'!N21*Assumptions!$H$68,IF(AND(L6&lt;Assumptions!$H$19,M6&gt;Assumptions!$H$19),(1-$C$6)*12*'Price_Technical Assumption'!N21*Assumptions!$H$68,0))</f>
        <v>17992.969669123631</v>
      </c>
      <c r="N10" s="74">
        <f>IF(N6&lt;Assumptions!$H$19,12*'Price_Technical Assumption'!O21*Assumptions!$H$68,IF(AND(M6&lt;Assumptions!$H$19,N6&gt;Assumptions!$H$19),(1-$C$6)*12*'Price_Technical Assumption'!O21*Assumptions!$H$68,0))</f>
        <v>17992.969669123631</v>
      </c>
      <c r="O10" s="74">
        <f>IF(O6&lt;Assumptions!$H$19,12*'Price_Technical Assumption'!P21*Assumptions!$H$68,IF(AND(N6&lt;Assumptions!$H$19,O6&gt;Assumptions!$H$19),(1-$C$6)*12*'Price_Technical Assumption'!P21*Assumptions!$H$68,0))</f>
        <v>17992.969669123631</v>
      </c>
      <c r="P10" s="74">
        <f>IF(P6&lt;Assumptions!$H$19,12*'Price_Technical Assumption'!Q21*Assumptions!$H$68,IF(AND(O6&lt;Assumptions!$H$19,P6&gt;Assumptions!$H$19),(1-$C$6)*12*'Price_Technical Assumption'!Q21*Assumptions!$H$68,0))</f>
        <v>17992.969669123631</v>
      </c>
      <c r="Q10" s="74">
        <f>IF(Q6&lt;Assumptions!$H$19,12*'Price_Technical Assumption'!R21*Assumptions!$H$68,IF(AND(P6&lt;Assumptions!$H$19,Q6&gt;Assumptions!$H$19),(1-$C$6)*12*'Price_Technical Assumption'!R21*Assumptions!$H$68,0))</f>
        <v>17992.969669123631</v>
      </c>
      <c r="R10" s="74">
        <f>IF(R6&lt;Assumptions!$H$19,12*'Price_Technical Assumption'!S21*Assumptions!$H$68,IF(AND(Q6&lt;Assumptions!$H$19,R6&gt;Assumptions!$H$19),(1-$C$6)*12*'Price_Technical Assumption'!S21*Assumptions!$H$68,0))</f>
        <v>17992.969669123631</v>
      </c>
      <c r="S10" s="74">
        <f>IF(S6&lt;Assumptions!$H$19,12*'Price_Technical Assumption'!T21*Assumptions!$H$68,IF(AND(R6&lt;Assumptions!$H$19,S6&gt;Assumptions!$H$19),(1-$C$6)*12*'Price_Technical Assumption'!T21*Assumptions!$H$68,0))</f>
        <v>17992.969669123631</v>
      </c>
      <c r="T10" s="74">
        <f>IF(T6&lt;Assumptions!$H$19,12*'Price_Technical Assumption'!U21*Assumptions!$H$68,IF(AND(S6&lt;Assumptions!$H$19,T6&gt;Assumptions!$H$19),(1-$C$6)*12*'Price_Technical Assumption'!U21*Assumptions!$H$68,0))</f>
        <v>17992.969669123631</v>
      </c>
      <c r="U10" s="74">
        <f>IF(U6&lt;Assumptions!$H$19,12*'Price_Technical Assumption'!V21*Assumptions!$H$68,IF(AND(T6&lt;Assumptions!$H$19,U6&gt;Assumptions!$H$19),(1-$C$6)*12*'Price_Technical Assumption'!V21*Assumptions!$H$68,0))</f>
        <v>17992.969669123631</v>
      </c>
      <c r="V10" s="74">
        <f>IF(V6&lt;Assumptions!$H$19,12*'Price_Technical Assumption'!W21*Assumptions!$H$68,IF(AND(U6&lt;Assumptions!$H$19,V6&gt;Assumptions!$H$19),(1-$C$6)*12*'Price_Technical Assumption'!W21*Assumptions!$H$68,0))</f>
        <v>17992.969669123631</v>
      </c>
      <c r="W10" s="74">
        <f>IF(W6&lt;Assumptions!$H$19,12*'Price_Technical Assumption'!X21*Assumptions!$H$68,IF(AND(V6&lt;Assumptions!$H$19,W6&gt;Assumptions!$H$19),(1-$C$6)*12*'Price_Technical Assumption'!X21*Assumptions!$H$68,0))</f>
        <v>17992.969669123631</v>
      </c>
      <c r="X10" s="74">
        <f>IF(X6&lt;Assumptions!$H$19,12*'Price_Technical Assumption'!Y21*Assumptions!$H$68,IF(AND(W6&lt;Assumptions!$H$19,X6&gt;Assumptions!$H$19),(1-$C$6)*12*'Price_Technical Assumption'!Y21*Assumptions!$H$68,0))</f>
        <v>17992.969669123631</v>
      </c>
      <c r="Y10" s="74">
        <f>IF(Y6&lt;Assumptions!$H$19,12*'Price_Technical Assumption'!Z21*Assumptions!$H$68,IF(AND(X6&lt;Assumptions!$H$19,Y6&gt;Assumptions!$H$19),(1-$C$6)*12*'Price_Technical Assumption'!Z21*Assumptions!$H$68,0))</f>
        <v>17992.969669123631</v>
      </c>
      <c r="Z10" s="74">
        <f>IF(Z6&lt;Assumptions!$H$19,12*'Price_Technical Assumption'!AA21*Assumptions!$H$68,IF(AND(Y6&lt;Assumptions!$H$19,Z6&gt;Assumptions!$H$19),(1-$C$6)*12*'Price_Technical Assumption'!AA21*Assumptions!$H$68,0))</f>
        <v>17992.969669123631</v>
      </c>
      <c r="AA10" s="74">
        <f>IF(AA6&lt;Assumptions!$H$19,12*'Price_Technical Assumption'!AB21*Assumptions!$H$68,IF(AND(Z6&lt;Assumptions!$H$19,AA6&gt;Assumptions!$H$19),(1-$C$6)*12*'Price_Technical Assumption'!AB21*Assumptions!$H$68,0))</f>
        <v>17992.969669123631</v>
      </c>
      <c r="AB10" s="74">
        <f>IF(AB6&lt;Assumptions!$H$19,12*'Price_Technical Assumption'!AC21*Assumptions!$H$68,IF(AND(AA6&lt;Assumptions!$H$19,AB6&gt;Assumptions!$H$19),(1-$C$6)*12*'Price_Technical Assumption'!AC21*Assumptions!$H$68,0))</f>
        <v>17992.969669123631</v>
      </c>
      <c r="AC10" s="74">
        <f>IF(AC6&lt;Assumptions!$H$19,12*'Price_Technical Assumption'!AD21*Assumptions!$H$68,IF(AND(AB6&lt;Assumptions!$H$19,AC6&gt;Assumptions!$H$19),(1-$C$6)*12*'Price_Technical Assumption'!AD21*Assumptions!$H$68,0))</f>
        <v>17992.969669123631</v>
      </c>
      <c r="AD10" s="74">
        <f>IF(AD6&lt;Assumptions!$H$19,12*'Price_Technical Assumption'!AE21*Assumptions!$H$68,IF(AND(AC6&lt;Assumptions!$H$19,AD6&gt;Assumptions!$H$19),(1-$C$6)*12*'Price_Technical Assumption'!AE21*Assumptions!$H$68,0))</f>
        <v>17992.969669123631</v>
      </c>
      <c r="AE10" s="74">
        <f>IF(AE6&lt;Assumptions!$H$19,12*'Price_Technical Assumption'!AF21*Assumptions!$H$68,IF(AND(AD6&lt;Assumptions!$H$19,AE6&gt;Assumptions!$H$19),(1-$C$6)*12*'Price_Technical Assumption'!AF21*Assumptions!$H$68,0))</f>
        <v>17992.969669123631</v>
      </c>
      <c r="AF10" s="74">
        <f>IF(AF6&lt;Assumptions!$H$19,12*'Price_Technical Assumption'!AG21*Assumptions!$H$68,IF(AND(AE6&lt;Assumptions!$H$19,AF6&gt;Assumptions!$H$19),(1-$C$6)*12*'Price_Technical Assumption'!AG21*Assumptions!$H$68,0))</f>
        <v>17992.969669123631</v>
      </c>
      <c r="AG10" s="74">
        <f>IF(AG6&lt;Assumptions!$H$19,12*'Price_Technical Assumption'!AH21*Assumptions!$H$68,IF(AND(AF6&lt;Assumptions!$H$19,AG6&gt;Assumptions!$H$19),(1-$C$6)*12*'Price_Technical Assumption'!AH21*Assumptions!$H$68,0))</f>
        <v>7585.6834509684604</v>
      </c>
    </row>
    <row r="11" spans="1:33">
      <c r="A11" s="3" t="s">
        <v>114</v>
      </c>
      <c r="C11" s="74">
        <f>IF(Assumptions!$W$14="Pass-through",0,'Price_Technical Assumption'!D38*Assumptions!$H$62/1000)</f>
        <v>0</v>
      </c>
      <c r="D11" s="74">
        <f>IF(Assumptions!$W$14="Pass-through",0,'Price_Technical Assumption'!E38*Assumptions!$H$62/1000)</f>
        <v>0</v>
      </c>
      <c r="E11" s="74">
        <f>IF(Assumptions!$W$14="Pass-through",0,'Price_Technical Assumption'!F38*Assumptions!$H$62/1000)</f>
        <v>0</v>
      </c>
      <c r="F11" s="74">
        <f>IF(Assumptions!$W$14="Pass-through",0,'Price_Technical Assumption'!G38*Assumptions!$H$62/1000)</f>
        <v>0</v>
      </c>
      <c r="G11" s="74">
        <f>IF(Assumptions!$W$14="Pass-through",0,'Price_Technical Assumption'!H38*Assumptions!$H$62/1000)</f>
        <v>0</v>
      </c>
      <c r="H11" s="74">
        <f>IF(Assumptions!$W$14="Pass-through",0,'Price_Technical Assumption'!I38*Assumptions!$H$62/1000)</f>
        <v>0</v>
      </c>
      <c r="I11" s="74">
        <f>IF(Assumptions!$W$14="Pass-through",0,'Price_Technical Assumption'!J38*Assumptions!$H$62/1000)</f>
        <v>0</v>
      </c>
      <c r="J11" s="74">
        <f>IF(Assumptions!$W$14="Pass-through",0,'Price_Technical Assumption'!K38*Assumptions!$H$62/1000)</f>
        <v>0</v>
      </c>
      <c r="K11" s="74">
        <f>IF(Assumptions!$W$14="Pass-through",0,'Price_Technical Assumption'!L38*Assumptions!$H$62/1000)</f>
        <v>0</v>
      </c>
      <c r="L11" s="74">
        <f>IF(Assumptions!$W$14="Pass-through",0,'Price_Technical Assumption'!M38*Assumptions!$H$62/1000)</f>
        <v>0</v>
      </c>
      <c r="M11" s="74">
        <f>IF(Assumptions!$W$14="Pass-through",0,'Price_Technical Assumption'!N38*Assumptions!$H$62/1000)</f>
        <v>0</v>
      </c>
      <c r="N11" s="74">
        <f>IF(Assumptions!$W$14="Pass-through",0,'Price_Technical Assumption'!O38*Assumptions!$H$62/1000)</f>
        <v>0</v>
      </c>
      <c r="O11" s="74">
        <f>IF(Assumptions!$W$14="Pass-through",0,'Price_Technical Assumption'!P38*Assumptions!$H$62/1000)</f>
        <v>0</v>
      </c>
      <c r="P11" s="74">
        <f>IF(Assumptions!$W$14="Pass-through",0,'Price_Technical Assumption'!Q38*Assumptions!$H$62/1000)</f>
        <v>0</v>
      </c>
      <c r="Q11" s="74">
        <f>IF(Assumptions!$W$14="Pass-through",0,'Price_Technical Assumption'!R38*Assumptions!$H$62/1000)</f>
        <v>0</v>
      </c>
      <c r="R11" s="74">
        <f>IF(Assumptions!$W$14="Pass-through",0,'Price_Technical Assumption'!S38*Assumptions!$H$62/1000)</f>
        <v>0</v>
      </c>
      <c r="S11" s="74">
        <f>IF(Assumptions!$W$14="Pass-through",0,'Price_Technical Assumption'!T38*Assumptions!$H$62/1000)</f>
        <v>0</v>
      </c>
      <c r="T11" s="74">
        <f>IF(Assumptions!$W$14="Pass-through",0,'Price_Technical Assumption'!U38*Assumptions!$H$62/1000)</f>
        <v>0</v>
      </c>
      <c r="U11" s="74">
        <f>IF(Assumptions!$W$14="Pass-through",0,'Price_Technical Assumption'!V38*Assumptions!$H$62/1000)</f>
        <v>0</v>
      </c>
      <c r="V11" s="74">
        <f>IF(Assumptions!$W$14="Pass-through",0,'Price_Technical Assumption'!W38*Assumptions!$H$62/1000)</f>
        <v>0</v>
      </c>
      <c r="W11" s="74">
        <f>IF(Assumptions!$W$14="Pass-through",0,'Price_Technical Assumption'!X38*Assumptions!$H$62/1000)</f>
        <v>0</v>
      </c>
      <c r="X11" s="74">
        <f>IF(Assumptions!$W$14="Pass-through",0,'Price_Technical Assumption'!Y38*Assumptions!$H$62/1000)</f>
        <v>0</v>
      </c>
      <c r="Y11" s="74">
        <f>IF(Assumptions!$W$14="Pass-through",0,'Price_Technical Assumption'!Z38*Assumptions!$H$62/1000)</f>
        <v>0</v>
      </c>
      <c r="Z11" s="74">
        <f>IF(Assumptions!$W$14="Pass-through",0,'Price_Technical Assumption'!AA38*Assumptions!$H$62/1000)</f>
        <v>0</v>
      </c>
      <c r="AA11" s="74">
        <f>IF(Assumptions!$W$14="Pass-through",0,'Price_Technical Assumption'!AB38*Assumptions!$H$62/1000)</f>
        <v>0</v>
      </c>
      <c r="AB11" s="74">
        <f>IF(Assumptions!$W$14="Pass-through",0,'Price_Technical Assumption'!AC38*Assumptions!$H$62/1000)</f>
        <v>0</v>
      </c>
      <c r="AC11" s="74">
        <f>IF(Assumptions!$W$14="Pass-through",0,'Price_Technical Assumption'!AD38*Assumptions!$H$62/1000)</f>
        <v>0</v>
      </c>
      <c r="AD11" s="74">
        <f>IF(Assumptions!$W$14="Pass-through",0,'Price_Technical Assumption'!AE38*Assumptions!$H$62/1000)</f>
        <v>0</v>
      </c>
      <c r="AE11" s="74">
        <f>IF(Assumptions!$W$14="Pass-through",0,'Price_Technical Assumption'!AF38*Assumptions!$H$62/1000)</f>
        <v>0</v>
      </c>
      <c r="AF11" s="74">
        <f>IF(Assumptions!$W$14="Pass-through",0,'Price_Technical Assumption'!AG38*Assumptions!$H$62/1000)</f>
        <v>0</v>
      </c>
      <c r="AG11" s="74">
        <f>IF(Assumptions!$W$14="Pass-through",0,'Price_Technical Assumption'!AH38*Assumptions!$H$62/1000)</f>
        <v>0</v>
      </c>
    </row>
    <row r="12" spans="1:33">
      <c r="A12" s="205" t="s">
        <v>115</v>
      </c>
      <c r="C12" s="357">
        <v>0</v>
      </c>
      <c r="D12" s="357">
        <v>0</v>
      </c>
      <c r="E12" s="357">
        <v>0</v>
      </c>
      <c r="F12" s="357">
        <v>0</v>
      </c>
      <c r="G12" s="357">
        <v>0</v>
      </c>
      <c r="H12" s="357">
        <v>0</v>
      </c>
      <c r="I12" s="357">
        <v>0</v>
      </c>
      <c r="J12" s="357">
        <v>0</v>
      </c>
      <c r="K12" s="357">
        <v>0</v>
      </c>
      <c r="L12" s="357">
        <v>0</v>
      </c>
      <c r="M12" s="357">
        <v>0</v>
      </c>
      <c r="N12" s="357">
        <v>0</v>
      </c>
      <c r="O12" s="357">
        <v>0</v>
      </c>
      <c r="P12" s="357">
        <v>0</v>
      </c>
      <c r="Q12" s="357">
        <v>0</v>
      </c>
      <c r="R12" s="357">
        <v>0</v>
      </c>
      <c r="S12" s="357">
        <v>0</v>
      </c>
      <c r="T12" s="357">
        <v>0</v>
      </c>
      <c r="U12" s="357">
        <v>0</v>
      </c>
      <c r="V12" s="357">
        <v>0</v>
      </c>
      <c r="W12" s="357">
        <v>0</v>
      </c>
      <c r="X12" s="357">
        <v>0</v>
      </c>
      <c r="Y12" s="357">
        <v>0</v>
      </c>
      <c r="Z12" s="357">
        <v>0</v>
      </c>
      <c r="AA12" s="357">
        <v>0</v>
      </c>
      <c r="AB12" s="357">
        <v>0</v>
      </c>
      <c r="AC12" s="357">
        <v>0</v>
      </c>
      <c r="AD12" s="357">
        <v>0</v>
      </c>
      <c r="AE12" s="357">
        <v>0</v>
      </c>
      <c r="AF12" s="357">
        <v>0</v>
      </c>
      <c r="AG12" s="357">
        <v>0</v>
      </c>
    </row>
    <row r="13" spans="1:33">
      <c r="A13" s="172" t="s">
        <v>40</v>
      </c>
      <c r="B13" s="592"/>
      <c r="C13" s="65">
        <f t="shared" ref="C13:AG13" si="0">SUM(C10:C12)</f>
        <v>11995.313112749089</v>
      </c>
      <c r="D13" s="65">
        <f t="shared" si="0"/>
        <v>17992.969669123631</v>
      </c>
      <c r="E13" s="65">
        <f t="shared" si="0"/>
        <v>17992.969669123631</v>
      </c>
      <c r="F13" s="65">
        <f t="shared" si="0"/>
        <v>17992.969669123631</v>
      </c>
      <c r="G13" s="65">
        <f t="shared" si="0"/>
        <v>17992.969669123631</v>
      </c>
      <c r="H13" s="65">
        <f t="shared" si="0"/>
        <v>17992.969669123631</v>
      </c>
      <c r="I13" s="65">
        <f t="shared" si="0"/>
        <v>17992.969669123631</v>
      </c>
      <c r="J13" s="65">
        <f t="shared" si="0"/>
        <v>17992.969669123631</v>
      </c>
      <c r="K13" s="65">
        <f t="shared" si="0"/>
        <v>17992.969669123631</v>
      </c>
      <c r="L13" s="65">
        <f t="shared" si="0"/>
        <v>17992.969669123631</v>
      </c>
      <c r="M13" s="65">
        <f t="shared" si="0"/>
        <v>17992.969669123631</v>
      </c>
      <c r="N13" s="65">
        <f t="shared" si="0"/>
        <v>17992.969669123631</v>
      </c>
      <c r="O13" s="65">
        <f t="shared" si="0"/>
        <v>17992.969669123631</v>
      </c>
      <c r="P13" s="65">
        <f t="shared" si="0"/>
        <v>17992.969669123631</v>
      </c>
      <c r="Q13" s="65">
        <f t="shared" si="0"/>
        <v>17992.969669123631</v>
      </c>
      <c r="R13" s="65">
        <f t="shared" si="0"/>
        <v>17992.969669123631</v>
      </c>
      <c r="S13" s="65">
        <f t="shared" si="0"/>
        <v>17992.969669123631</v>
      </c>
      <c r="T13" s="65">
        <f t="shared" si="0"/>
        <v>17992.969669123631</v>
      </c>
      <c r="U13" s="65">
        <f t="shared" si="0"/>
        <v>17992.969669123631</v>
      </c>
      <c r="V13" s="65">
        <f t="shared" si="0"/>
        <v>17992.969669123631</v>
      </c>
      <c r="W13" s="65">
        <f t="shared" si="0"/>
        <v>17992.969669123631</v>
      </c>
      <c r="X13" s="65">
        <f t="shared" si="0"/>
        <v>17992.969669123631</v>
      </c>
      <c r="Y13" s="65">
        <f t="shared" si="0"/>
        <v>17992.969669123631</v>
      </c>
      <c r="Z13" s="65">
        <f t="shared" si="0"/>
        <v>17992.969669123631</v>
      </c>
      <c r="AA13" s="65">
        <f t="shared" si="0"/>
        <v>17992.969669123631</v>
      </c>
      <c r="AB13" s="65">
        <f t="shared" si="0"/>
        <v>17992.969669123631</v>
      </c>
      <c r="AC13" s="65">
        <f t="shared" si="0"/>
        <v>17992.969669123631</v>
      </c>
      <c r="AD13" s="65">
        <f t="shared" si="0"/>
        <v>17992.969669123631</v>
      </c>
      <c r="AE13" s="65">
        <f t="shared" si="0"/>
        <v>17992.969669123631</v>
      </c>
      <c r="AF13" s="65">
        <f t="shared" si="0"/>
        <v>17992.969669123631</v>
      </c>
      <c r="AG13" s="65">
        <f t="shared" si="0"/>
        <v>7585.6834509684604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5">
        <f>IF(Assumptions!$W$14="Pass-through",0,Assumptions!$H$62*'Price_Technical Assumption'!D30*'Price_Technical Assumption'!D44/1000000)</f>
        <v>0</v>
      </c>
      <c r="D16" s="215">
        <f>IF(Assumptions!$W$14="Pass-through",0,Assumptions!$H$62*'Price_Technical Assumption'!E30*'Price_Technical Assumption'!E44/1000000)</f>
        <v>0</v>
      </c>
      <c r="E16" s="215">
        <f>IF(Assumptions!$W$14="Pass-through",0,Assumptions!$H$62*'Price_Technical Assumption'!F30*'Price_Technical Assumption'!F44/1000000)</f>
        <v>0</v>
      </c>
      <c r="F16" s="215">
        <f>IF(Assumptions!$W$14="Pass-through",0,Assumptions!$H$62*'Price_Technical Assumption'!G30*'Price_Technical Assumption'!G44/1000000)</f>
        <v>0</v>
      </c>
      <c r="G16" s="215">
        <f>IF(Assumptions!$W$14="Pass-through",0,Assumptions!$H$62*'Price_Technical Assumption'!H30*'Price_Technical Assumption'!H44/1000000)</f>
        <v>0</v>
      </c>
      <c r="H16" s="215">
        <f>IF(Assumptions!$W$14="Pass-through",0,Assumptions!$H$62*'Price_Technical Assumption'!I30*'Price_Technical Assumption'!I44/1000000)</f>
        <v>0</v>
      </c>
      <c r="I16" s="215">
        <f>IF(Assumptions!$W$14="Pass-through",0,Assumptions!$H$62*'Price_Technical Assumption'!J30*'Price_Technical Assumption'!J44/1000000)</f>
        <v>0</v>
      </c>
      <c r="J16" s="215">
        <f>IF(Assumptions!$W$14="Pass-through",0,Assumptions!$H$62*'Price_Technical Assumption'!K30*'Price_Technical Assumption'!K44/1000000)</f>
        <v>0</v>
      </c>
      <c r="K16" s="215">
        <f>IF(Assumptions!$W$14="Pass-through",0,Assumptions!$H$62*'Price_Technical Assumption'!L30*'Price_Technical Assumption'!L44/1000000)</f>
        <v>0</v>
      </c>
      <c r="L16" s="215">
        <f>IF(Assumptions!$W$14="Pass-through",0,Assumptions!$H$62*'Price_Technical Assumption'!M30*'Price_Technical Assumption'!M44/1000000)</f>
        <v>0</v>
      </c>
      <c r="M16" s="215">
        <f>IF(Assumptions!$W$14="Pass-through",0,Assumptions!$H$62*'Price_Technical Assumption'!N30*'Price_Technical Assumption'!N44/1000000)</f>
        <v>0</v>
      </c>
      <c r="N16" s="215">
        <f>IF(Assumptions!$W$14="Pass-through",0,Assumptions!$H$62*'Price_Technical Assumption'!O30*'Price_Technical Assumption'!O44/1000000)</f>
        <v>0</v>
      </c>
      <c r="O16" s="215">
        <f>IF(Assumptions!$W$14="Pass-through",0,Assumptions!$H$62*'Price_Technical Assumption'!P30*'Price_Technical Assumption'!P44/1000000)</f>
        <v>0</v>
      </c>
      <c r="P16" s="215">
        <f>IF(Assumptions!$W$14="Pass-through",0,Assumptions!$H$62*'Price_Technical Assumption'!Q30*'Price_Technical Assumption'!Q44/1000000)</f>
        <v>0</v>
      </c>
      <c r="Q16" s="215">
        <f>IF(Assumptions!$W$14="Pass-through",0,Assumptions!$H$62*'Price_Technical Assumption'!R30*'Price_Technical Assumption'!R44/1000000)</f>
        <v>0</v>
      </c>
      <c r="R16" s="215">
        <f>IF(Assumptions!$W$14="Pass-through",0,Assumptions!$H$62*'Price_Technical Assumption'!S30*'Price_Technical Assumption'!S44/1000000)</f>
        <v>0</v>
      </c>
      <c r="S16" s="215">
        <f>IF(Assumptions!$W$14="Pass-through",0,Assumptions!$H$62*'Price_Technical Assumption'!T30*'Price_Technical Assumption'!T44/1000000)</f>
        <v>0</v>
      </c>
      <c r="T16" s="215">
        <f>IF(Assumptions!$W$14="Pass-through",0,Assumptions!$H$62*'Price_Technical Assumption'!U30*'Price_Technical Assumption'!U44/1000000)</f>
        <v>0</v>
      </c>
      <c r="U16" s="215">
        <f>IF(Assumptions!$W$14="Pass-through",0,Assumptions!$H$62*'Price_Technical Assumption'!V30*'Price_Technical Assumption'!V44/1000000)</f>
        <v>0</v>
      </c>
      <c r="V16" s="215">
        <f>IF(Assumptions!$W$14="Pass-through",0,Assumptions!$H$62*'Price_Technical Assumption'!W30*'Price_Technical Assumption'!W44/1000000)</f>
        <v>0</v>
      </c>
      <c r="W16" s="215">
        <f>IF(Assumptions!$W$14="Pass-through",0,Assumptions!$H$62*'Price_Technical Assumption'!X30*'Price_Technical Assumption'!X44/1000000)</f>
        <v>0</v>
      </c>
      <c r="X16" s="215">
        <f>IF(Assumptions!$W$14="Pass-through",0,Assumptions!$H$62*'Price_Technical Assumption'!Y30*'Price_Technical Assumption'!Y44/1000000)</f>
        <v>0</v>
      </c>
      <c r="Y16" s="215">
        <f>IF(Assumptions!$W$14="Pass-through",0,Assumptions!$H$62*'Price_Technical Assumption'!Z30*'Price_Technical Assumption'!Z44/1000000)</f>
        <v>0</v>
      </c>
      <c r="Z16" s="215">
        <f>IF(Assumptions!$W$14="Pass-through",0,Assumptions!$H$62*'Price_Technical Assumption'!AA30*'Price_Technical Assumption'!AA44/1000000)</f>
        <v>0</v>
      </c>
      <c r="AA16" s="215">
        <f>IF(Assumptions!$W$14="Pass-through",0,Assumptions!$H$62*'Price_Technical Assumption'!AB30*'Price_Technical Assumption'!AB44/1000000)</f>
        <v>0</v>
      </c>
      <c r="AB16" s="215">
        <f>IF(Assumptions!$W$14="Pass-through",0,Assumptions!$H$62*'Price_Technical Assumption'!AC30*'Price_Technical Assumption'!AC44/1000000)</f>
        <v>0</v>
      </c>
      <c r="AC16" s="215">
        <f>IF(Assumptions!$W$14="Pass-through",0,Assumptions!$H$62*'Price_Technical Assumption'!AD30*'Price_Technical Assumption'!AD44/1000000)</f>
        <v>0</v>
      </c>
      <c r="AD16" s="215">
        <f>IF(Assumptions!$W$14="Pass-through",0,Assumptions!$H$62*'Price_Technical Assumption'!AE30*'Price_Technical Assumption'!AE44/1000000)</f>
        <v>0</v>
      </c>
      <c r="AE16" s="215">
        <f>IF(Assumptions!$W$14="Pass-through",0,Assumptions!$H$62*'Price_Technical Assumption'!AF30*'Price_Technical Assumption'!AF44/1000000)</f>
        <v>0</v>
      </c>
      <c r="AF16" s="215">
        <f>IF(Assumptions!$W$14="Pass-through",0,Assumptions!$H$62*'Price_Technical Assumption'!AG30*'Price_Technical Assumption'!AG44/1000000)</f>
        <v>0</v>
      </c>
      <c r="AG16" s="215">
        <f>IF(Assumptions!$W$14="Pass-through",0,Assumptions!$H$62*'Price_Technical Assumption'!AH30*'Price_Technical Assumption'!AH44/1000000)</f>
        <v>0</v>
      </c>
    </row>
    <row r="17" spans="1:47">
      <c r="A17" s="3" t="s">
        <v>189</v>
      </c>
      <c r="B17" s="65"/>
      <c r="C17" s="74">
        <f>Assumptions!$N19*C6</f>
        <v>500</v>
      </c>
      <c r="D17" s="74">
        <f>Assumptions!$N19*(1+Assumptions!$N$11)</f>
        <v>765</v>
      </c>
      <c r="E17" s="74">
        <f>D17*(1+Assumptions!$N$11)</f>
        <v>780.30000000000007</v>
      </c>
      <c r="F17" s="74">
        <f>E17*(1+Assumptions!$N$11)</f>
        <v>795.90600000000006</v>
      </c>
      <c r="G17" s="74">
        <f>F17*(1+Assumptions!$N$11)</f>
        <v>811.82412000000011</v>
      </c>
      <c r="H17" s="74">
        <f>G17*(1+Assumptions!$N$11)</f>
        <v>828.06060240000011</v>
      </c>
      <c r="I17" s="74">
        <f>H17*(1+Assumptions!$N$11)</f>
        <v>844.62181444800012</v>
      </c>
      <c r="J17" s="74">
        <f>I17*(1+Assumptions!$N$11)</f>
        <v>861.51425073696009</v>
      </c>
      <c r="K17" s="74">
        <f>J17*(1+Assumptions!$N$11)</f>
        <v>878.74453575169935</v>
      </c>
      <c r="L17" s="74">
        <f>K17*(1+Assumptions!$N$11)</f>
        <v>896.31942646673338</v>
      </c>
      <c r="M17" s="74">
        <f>L17*(1+Assumptions!$N$11)</f>
        <v>914.24581499606802</v>
      </c>
      <c r="N17" s="74">
        <f>M17*(1+Assumptions!$N$11)</f>
        <v>932.53073129598943</v>
      </c>
      <c r="O17" s="74">
        <f>N17*(1+Assumptions!$N$11)</f>
        <v>951.18134592190927</v>
      </c>
      <c r="P17" s="74">
        <f>O17*(1+Assumptions!$N$11)</f>
        <v>970.20497284034752</v>
      </c>
      <c r="Q17" s="74">
        <f>P17*(1+Assumptions!$N$11)</f>
        <v>989.60907229715451</v>
      </c>
      <c r="R17" s="74">
        <f>Q17*(1+Assumptions!$N$11)</f>
        <v>1009.4012537430976</v>
      </c>
      <c r="S17" s="74">
        <f>R17*(1+Assumptions!$N$11)</f>
        <v>1029.5892788179597</v>
      </c>
      <c r="T17" s="74">
        <f>S17*(1+Assumptions!$N$11)</f>
        <v>1050.1810643943188</v>
      </c>
      <c r="U17" s="74">
        <f>T17*(1+Assumptions!$N$11)</f>
        <v>1071.1846856822051</v>
      </c>
      <c r="V17" s="74">
        <f>U17*(1+Assumptions!$N$11)</f>
        <v>1092.6083793958492</v>
      </c>
      <c r="W17" s="74">
        <f>V17*(1+Assumptions!$N$11)</f>
        <v>1114.4605469837661</v>
      </c>
      <c r="X17" s="74">
        <f>W17*(1+Assumptions!$N$11)</f>
        <v>1136.7497579234414</v>
      </c>
      <c r="Y17" s="74">
        <f>X17*(1+Assumptions!$N$11)</f>
        <v>1159.4847530819102</v>
      </c>
      <c r="Z17" s="74">
        <f>Y17*(1+Assumptions!$N$11)</f>
        <v>1182.6744481435485</v>
      </c>
      <c r="AA17" s="74">
        <f>Z17*(1+Assumptions!$N$11)</f>
        <v>1206.3279371064195</v>
      </c>
      <c r="AB17" s="74">
        <f>AA17*(1+Assumptions!$N$11)</f>
        <v>1230.454495848548</v>
      </c>
      <c r="AC17" s="74">
        <f>AB17*(1+Assumptions!$N$11)</f>
        <v>1255.0635857655191</v>
      </c>
      <c r="AD17" s="74">
        <f>AC17*(1+Assumptions!$N$11)</f>
        <v>1280.1648574808294</v>
      </c>
      <c r="AE17" s="74">
        <f>AD17*(1+Assumptions!$N$11)</f>
        <v>1305.7681546304459</v>
      </c>
      <c r="AF17" s="74">
        <f>AE17*(1+Assumptions!$N$11)</f>
        <v>1331.8835177230549</v>
      </c>
      <c r="AG17" s="74">
        <f>AF17*(1+Assumptions!$N$11)</f>
        <v>1358.5211880775159</v>
      </c>
    </row>
    <row r="18" spans="1:47">
      <c r="A18" s="3" t="s">
        <v>234</v>
      </c>
      <c r="C18" s="215">
        <f>IF(Assumptions!W14="Pass-through",0,+(Assumptions!$N$15*Assumptions!$H$62)/1000*(1+Assumptions!$N$11)^IS!C6)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235</v>
      </c>
      <c r="B19" s="65"/>
      <c r="C19" s="74">
        <f>IF(Assumptions!W14="Pass-through",0,Assumptions!$N$16*Assumptions!$H$62/1000*(1+Assumptions!$N$11)^IS!C6)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166.66666666666666</v>
      </c>
      <c r="D20" s="74">
        <f>Assumptions!$N20*(1+Assumptions!$N$11)</f>
        <v>255</v>
      </c>
      <c r="E20" s="74">
        <f>D20*(1+Assumptions!$N$11)</f>
        <v>260.10000000000002</v>
      </c>
      <c r="F20" s="74">
        <f>E20*(1+Assumptions!$N$11)</f>
        <v>265.30200000000002</v>
      </c>
      <c r="G20" s="74">
        <f>F20*(1+Assumptions!$N$11)</f>
        <v>270.60804000000002</v>
      </c>
      <c r="H20" s="74">
        <f>G20*(1+Assumptions!$N$11)</f>
        <v>276.0202008</v>
      </c>
      <c r="I20" s="74">
        <f>H20*(1+Assumptions!$N$11)</f>
        <v>281.54060481599998</v>
      </c>
      <c r="J20" s="74">
        <f>I20*(1+Assumptions!$N$11)</f>
        <v>287.17141691232001</v>
      </c>
      <c r="K20" s="74">
        <f>J20*(1+Assumptions!$N$11)</f>
        <v>292.91484525056643</v>
      </c>
      <c r="L20" s="74">
        <f>K20*(1+Assumptions!$N$11)</f>
        <v>298.77314215557777</v>
      </c>
      <c r="M20" s="74">
        <f>L20*(1+Assumptions!$N$11)</f>
        <v>304.74860499868936</v>
      </c>
      <c r="N20" s="74">
        <f>M20*(1+Assumptions!$N$11)</f>
        <v>310.84357709866316</v>
      </c>
      <c r="O20" s="74">
        <f>N20*(1+Assumptions!$N$11)</f>
        <v>317.06044864063642</v>
      </c>
      <c r="P20" s="74">
        <f>O20*(1+Assumptions!$N$11)</f>
        <v>323.40165761344917</v>
      </c>
      <c r="Q20" s="74">
        <f>P20*(1+Assumptions!$N$11)</f>
        <v>329.86969076571819</v>
      </c>
      <c r="R20" s="74">
        <f>Q20*(1+Assumptions!$N$11)</f>
        <v>336.46708458103257</v>
      </c>
      <c r="S20" s="74">
        <f>R20*(1+Assumptions!$N$11)</f>
        <v>343.19642627265324</v>
      </c>
      <c r="T20" s="74">
        <f>S20*(1+Assumptions!$N$11)</f>
        <v>350.06035479810629</v>
      </c>
      <c r="U20" s="74">
        <f>T20*(1+Assumptions!$N$11)</f>
        <v>357.0615618940684</v>
      </c>
      <c r="V20" s="74">
        <f>U20*(1+Assumptions!$N$11)</f>
        <v>364.20279313194976</v>
      </c>
      <c r="W20" s="74">
        <f>V20*(1+Assumptions!$N$11)</f>
        <v>371.48684899458874</v>
      </c>
      <c r="X20" s="74">
        <f>W20*(1+Assumptions!$N$11)</f>
        <v>378.91658597448054</v>
      </c>
      <c r="Y20" s="74">
        <f>X20*(1+Assumptions!$N$11)</f>
        <v>386.49491769397014</v>
      </c>
      <c r="Z20" s="74">
        <f>Y20*(1+Assumptions!$N$11)</f>
        <v>394.22481604784957</v>
      </c>
      <c r="AA20" s="74">
        <f>Z20*(1+Assumptions!$N$11)</f>
        <v>402.10931236880657</v>
      </c>
      <c r="AB20" s="74">
        <f>AA20*(1+Assumptions!$N$11)</f>
        <v>410.15149861618272</v>
      </c>
      <c r="AC20" s="74">
        <f>AB20*(1+Assumptions!$N$11)</f>
        <v>418.35452858850635</v>
      </c>
      <c r="AD20" s="74">
        <f>AC20*(1+Assumptions!$N$11)</f>
        <v>426.72161916027648</v>
      </c>
      <c r="AE20" s="74">
        <f>AD20*(1+Assumptions!$N$11)</f>
        <v>435.25605154348199</v>
      </c>
      <c r="AF20" s="74">
        <f>AE20*(1+Assumptions!$N$11)</f>
        <v>443.96117257435162</v>
      </c>
      <c r="AG20" s="74">
        <f>AF20*(1+Assumptions!$N$11)</f>
        <v>452.84039602583869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337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201</v>
      </c>
      <c r="C23" s="192">
        <f>Assumptions!N30</f>
        <v>2367.545786269829</v>
      </c>
      <c r="D23" s="192">
        <f>C23*(1+Assumptions!$P$30)</f>
        <v>2367.545786269829</v>
      </c>
      <c r="E23" s="192">
        <f>D23*(1+Assumptions!$P$30)</f>
        <v>2367.545786269829</v>
      </c>
      <c r="F23" s="192">
        <f>E23*(1+Assumptions!$P$30)</f>
        <v>2367.545786269829</v>
      </c>
      <c r="G23" s="192">
        <f>F23*(1+Assumptions!$P$30)</f>
        <v>2367.545786269829</v>
      </c>
      <c r="H23" s="192">
        <f>G23*(1+Assumptions!$P$30)</f>
        <v>2367.545786269829</v>
      </c>
      <c r="I23" s="192">
        <f>H23*(1+Assumptions!$P$30)</f>
        <v>2367.545786269829</v>
      </c>
      <c r="J23" s="192">
        <f>I23*(1+Assumptions!$P$30)</f>
        <v>2367.545786269829</v>
      </c>
      <c r="K23" s="192">
        <f>J23*(1+Assumptions!$P$30)</f>
        <v>2367.545786269829</v>
      </c>
      <c r="L23" s="192">
        <f>K23*(1+Assumptions!$P$30)</f>
        <v>2367.545786269829</v>
      </c>
      <c r="M23" s="192">
        <f>L23*(1+Assumptions!$P$30)</f>
        <v>2367.545786269829</v>
      </c>
      <c r="N23" s="192">
        <f>M23*(1+Assumptions!$P$30)</f>
        <v>2367.545786269829</v>
      </c>
      <c r="O23" s="192">
        <f>N23*(1+Assumptions!$P$30)</f>
        <v>2367.545786269829</v>
      </c>
      <c r="P23" s="192">
        <f>O23*(1+Assumptions!$P$30)</f>
        <v>2367.545786269829</v>
      </c>
      <c r="Q23" s="192">
        <f>P23*(1+Assumptions!$P$30)</f>
        <v>2367.545786269829</v>
      </c>
      <c r="R23" s="192">
        <f>Q23*(1+Assumptions!$P$30)</f>
        <v>2367.545786269829</v>
      </c>
      <c r="S23" s="192">
        <f>R23*(1+Assumptions!$P$30)</f>
        <v>2367.545786269829</v>
      </c>
      <c r="T23" s="192">
        <f>S23*(1+Assumptions!$P$30)</f>
        <v>2367.545786269829</v>
      </c>
      <c r="U23" s="192">
        <f>T23*(1+Assumptions!$P$30)</f>
        <v>2367.545786269829</v>
      </c>
      <c r="V23" s="192">
        <f>U23*(1+Assumptions!$P$30)</f>
        <v>2367.545786269829</v>
      </c>
      <c r="W23" s="192">
        <f>V23*(1+Assumptions!$P$30)</f>
        <v>2367.545786269829</v>
      </c>
      <c r="X23" s="192">
        <f>W23*(1+Assumptions!$P$30)</f>
        <v>2367.545786269829</v>
      </c>
      <c r="Y23" s="192">
        <f>X23*(1+Assumptions!$P$30)</f>
        <v>2367.545786269829</v>
      </c>
      <c r="Z23" s="192">
        <f>Y23*(1+Assumptions!$P$30)</f>
        <v>2367.545786269829</v>
      </c>
      <c r="AA23" s="192">
        <f>Z23*(1+Assumptions!$P$30)</f>
        <v>2367.545786269829</v>
      </c>
      <c r="AB23" s="192">
        <f>AA23*(1+Assumptions!$P$30)</f>
        <v>2367.545786269829</v>
      </c>
      <c r="AC23" s="192">
        <f>AB23*(1+Assumptions!$P$30)</f>
        <v>2367.545786269829</v>
      </c>
      <c r="AD23" s="192">
        <f>AC23*(1+Assumptions!$P$30)</f>
        <v>2367.545786269829</v>
      </c>
      <c r="AE23" s="192">
        <f>AD23*(1+Assumptions!$P$30)</f>
        <v>2367.545786269829</v>
      </c>
      <c r="AF23" s="192">
        <f>AE23*(1+Assumptions!$P$30)</f>
        <v>2367.545786269829</v>
      </c>
      <c r="AG23" s="192">
        <f>AF23*(1+Assumptions!$P$30)</f>
        <v>2367.545786269829</v>
      </c>
    </row>
    <row r="24" spans="1:47">
      <c r="A24" s="5" t="s">
        <v>191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195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400</v>
      </c>
      <c r="D27" s="74">
        <f>Assumptions!$O$23*Assumptions!$H$68*(1+Assumptions!$N$11)</f>
        <v>612</v>
      </c>
      <c r="E27" s="74">
        <f>Assumptions!$O$23*Assumptions!$H$68*(1+Assumptions!$N$11)</f>
        <v>612</v>
      </c>
      <c r="F27" s="74">
        <f>Assumptions!$O$23*Assumptions!$H$68*(1+Assumptions!$N$11)</f>
        <v>612</v>
      </c>
      <c r="G27" s="74">
        <f>Assumptions!$O$23*Assumptions!$H$68*(1+Assumptions!$N$11)</f>
        <v>612</v>
      </c>
      <c r="H27" s="74">
        <f>Assumptions!$O$23*Assumptions!$H$68*(1+Assumptions!$N$11)</f>
        <v>612</v>
      </c>
      <c r="I27" s="74">
        <f>Assumptions!$O$23*Assumptions!$H$68*(1+Assumptions!$N$11)</f>
        <v>612</v>
      </c>
      <c r="J27" s="74">
        <f>Assumptions!$O$23*Assumptions!$H$68*(1+Assumptions!$N$11)</f>
        <v>612</v>
      </c>
      <c r="K27" s="74">
        <f>Assumptions!$O$23*Assumptions!$H$68*(1+Assumptions!$N$11)</f>
        <v>612</v>
      </c>
      <c r="L27" s="74">
        <f>Assumptions!$O$23*Assumptions!$H$68*(1+Assumptions!$N$11)</f>
        <v>612</v>
      </c>
      <c r="M27" s="74">
        <f>Assumptions!$O$23*Assumptions!$H$68*(1+Assumptions!$N$11)</f>
        <v>612</v>
      </c>
      <c r="N27" s="74">
        <f>Assumptions!$O$23*Assumptions!$H$68*(1+Assumptions!$N$11)</f>
        <v>612</v>
      </c>
      <c r="O27" s="74">
        <f>Assumptions!$O$23*Assumptions!$H$68*(1+Assumptions!$N$11)</f>
        <v>612</v>
      </c>
      <c r="P27" s="74">
        <f>Assumptions!$O$23*Assumptions!$H$68*(1+Assumptions!$N$11)</f>
        <v>612</v>
      </c>
      <c r="Q27" s="74">
        <f>Assumptions!$O$23*Assumptions!$H$68*(1+Assumptions!$N$11)</f>
        <v>612</v>
      </c>
      <c r="R27" s="74">
        <f>Assumptions!$O$23*Assumptions!$H$68*(1+Assumptions!$N$11)</f>
        <v>612</v>
      </c>
      <c r="S27" s="74">
        <f>Assumptions!$O$23*Assumptions!$H$68*(1+Assumptions!$N$11)</f>
        <v>612</v>
      </c>
      <c r="T27" s="74">
        <f>Assumptions!$O$23*Assumptions!$H$68*(1+Assumptions!$N$11)</f>
        <v>612</v>
      </c>
      <c r="U27" s="74">
        <f>Assumptions!$O$23*Assumptions!$H$68*(1+Assumptions!$N$11)</f>
        <v>612</v>
      </c>
      <c r="V27" s="74">
        <f>Assumptions!$O$23*Assumptions!$H$68*(1+Assumptions!$N$11)</f>
        <v>612</v>
      </c>
      <c r="W27" s="74">
        <f>Assumptions!$O$23*Assumptions!$H$68*(1+Assumptions!$N$11)</f>
        <v>612</v>
      </c>
      <c r="X27" s="74">
        <f>Assumptions!$O$23*Assumptions!$H$68*(1+Assumptions!$N$11)</f>
        <v>612</v>
      </c>
      <c r="Y27" s="74">
        <f>Assumptions!$O$23*Assumptions!$H$68*(1+Assumptions!$N$11)</f>
        <v>612</v>
      </c>
      <c r="Z27" s="74">
        <f>Assumptions!$O$23*Assumptions!$H$68*(1+Assumptions!$N$11)</f>
        <v>612</v>
      </c>
      <c r="AA27" s="74">
        <f>Assumptions!$O$23*Assumptions!$H$68*(1+Assumptions!$N$11)</f>
        <v>612</v>
      </c>
      <c r="AB27" s="74">
        <f>Assumptions!$O$23*Assumptions!$H$68*(1+Assumptions!$N$11)</f>
        <v>612</v>
      </c>
      <c r="AC27" s="74">
        <f>Assumptions!$O$23*Assumptions!$H$68*(1+Assumptions!$N$11)</f>
        <v>612</v>
      </c>
      <c r="AD27" s="74">
        <f>Assumptions!$O$23*Assumptions!$H$68*(1+Assumptions!$N$11)</f>
        <v>612</v>
      </c>
      <c r="AE27" s="74">
        <f>Assumptions!$O$23*Assumptions!$H$68*(1+Assumptions!$N$11)</f>
        <v>612</v>
      </c>
      <c r="AF27" s="74">
        <f>Assumptions!$O$23*Assumptions!$H$68*(1+Assumptions!$N$11)</f>
        <v>612</v>
      </c>
      <c r="AG27" s="74">
        <f>Assumptions!$O$23*Assumptions!$H$68*(1+Assumptions!$N$11)</f>
        <v>612</v>
      </c>
    </row>
    <row r="28" spans="1:47">
      <c r="A28" s="3" t="s">
        <v>44</v>
      </c>
      <c r="C28" s="74">
        <f>Assumptions!$N24*Assumptions!H18/12</f>
        <v>50</v>
      </c>
      <c r="D28" s="74">
        <f>Assumptions!$N24*(1+Assumptions!$N$11)</f>
        <v>76.5</v>
      </c>
      <c r="E28" s="74">
        <f>D28*(1+Assumptions!$N$11)</f>
        <v>78.03</v>
      </c>
      <c r="F28" s="74">
        <f>E28*(1+Assumptions!$N$11)</f>
        <v>79.590600000000009</v>
      </c>
      <c r="G28" s="74">
        <f>F28*(1+Assumptions!$N$11)</f>
        <v>81.182412000000014</v>
      </c>
      <c r="H28" s="74">
        <f>G28*(1+Assumptions!$N$11)</f>
        <v>82.806060240000022</v>
      </c>
      <c r="I28" s="74">
        <f>H28*(1+Assumptions!$N$11)</f>
        <v>84.462181444800024</v>
      </c>
      <c r="J28" s="74">
        <f>I28*(1+Assumptions!$N$11)</f>
        <v>86.151425073696032</v>
      </c>
      <c r="K28" s="74">
        <f>J28*(1+Assumptions!$N$11)</f>
        <v>87.874453575169952</v>
      </c>
      <c r="L28" s="74">
        <f>K28*(1+Assumptions!$N$11)</f>
        <v>89.631942646673352</v>
      </c>
      <c r="M28" s="74">
        <f>L28*(1+Assumptions!$N$11)</f>
        <v>91.424581499606816</v>
      </c>
      <c r="N28" s="74">
        <f>M28*(1+Assumptions!$N$11)</f>
        <v>93.25307312959896</v>
      </c>
      <c r="O28" s="74">
        <f>N28*(1+Assumptions!$N$11)</f>
        <v>95.118134592190941</v>
      </c>
      <c r="P28" s="74">
        <f>O28*(1+Assumptions!$N$11)</f>
        <v>97.020497284034761</v>
      </c>
      <c r="Q28" s="74">
        <f>P28*(1+Assumptions!$N$11)</f>
        <v>98.96090722971546</v>
      </c>
      <c r="R28" s="74">
        <f>Q28*(1+Assumptions!$N$11)</f>
        <v>100.94012537430977</v>
      </c>
      <c r="S28" s="74">
        <f>R28*(1+Assumptions!$N$11)</f>
        <v>102.95892788179597</v>
      </c>
      <c r="T28" s="74">
        <f>S28*(1+Assumptions!$N$11)</f>
        <v>105.01810643943189</v>
      </c>
      <c r="U28" s="74">
        <f>T28*(1+Assumptions!$N$11)</f>
        <v>107.11846856822054</v>
      </c>
      <c r="V28" s="74">
        <f>U28*(1+Assumptions!$N$11)</f>
        <v>109.26083793958495</v>
      </c>
      <c r="W28" s="74">
        <f>V28*(1+Assumptions!$N$11)</f>
        <v>111.44605469837664</v>
      </c>
      <c r="X28" s="74">
        <f>W28*(1+Assumptions!$N$11)</f>
        <v>113.67497579234417</v>
      </c>
      <c r="Y28" s="74">
        <f>X28*(1+Assumptions!$N$11)</f>
        <v>115.94847530819105</v>
      </c>
      <c r="Z28" s="74">
        <f>Y28*(1+Assumptions!$N$11)</f>
        <v>118.26744481435487</v>
      </c>
      <c r="AA28" s="74">
        <f>Z28*(1+Assumptions!$N$11)</f>
        <v>120.63279371064198</v>
      </c>
      <c r="AB28" s="74">
        <f>AA28*(1+Assumptions!$N$11)</f>
        <v>123.04544958485482</v>
      </c>
      <c r="AC28" s="74">
        <f>AB28*(1+Assumptions!$N$11)</f>
        <v>125.50635857655192</v>
      </c>
      <c r="AD28" s="74">
        <f>AC28*(1+Assumptions!$N$11)</f>
        <v>128.01648574808297</v>
      </c>
      <c r="AE28" s="74">
        <f>AD28*(1+Assumptions!$N$11)</f>
        <v>130.57681546304462</v>
      </c>
      <c r="AF28" s="74">
        <f>AE28*(1+Assumptions!$N$11)</f>
        <v>133.18835177230551</v>
      </c>
      <c r="AG28" s="74">
        <f>AF28*(1+Assumptions!$N$11)</f>
        <v>135.85211880775162</v>
      </c>
    </row>
    <row r="29" spans="1:47">
      <c r="A29" s="3" t="s">
        <v>45</v>
      </c>
      <c r="C29" s="75">
        <f>Assumptions!$N25*Assumptions!H18/12</f>
        <v>100</v>
      </c>
      <c r="D29" s="75">
        <f>Assumptions!$N25*(1+Assumptions!$N$11)</f>
        <v>153</v>
      </c>
      <c r="E29" s="75">
        <f>D29*(1+Assumptions!$N$11)</f>
        <v>156.06</v>
      </c>
      <c r="F29" s="75">
        <f>E29*(1+Assumptions!$N$11)</f>
        <v>159.18120000000002</v>
      </c>
      <c r="G29" s="75">
        <f>F29*(1+Assumptions!$N$11)</f>
        <v>162.36482400000003</v>
      </c>
      <c r="H29" s="75">
        <f>G29*(1+Assumptions!$N$11)</f>
        <v>165.61212048000004</v>
      </c>
      <c r="I29" s="75">
        <f>H29*(1+Assumptions!$N$11)</f>
        <v>168.92436288960005</v>
      </c>
      <c r="J29" s="75">
        <f>I29*(1+Assumptions!$N$11)</f>
        <v>172.30285014739206</v>
      </c>
      <c r="K29" s="75">
        <f>J29*(1+Assumptions!$N$11)</f>
        <v>175.7489071503399</v>
      </c>
      <c r="L29" s="75">
        <f>K29*(1+Assumptions!$N$11)</f>
        <v>179.2638852933467</v>
      </c>
      <c r="M29" s="75">
        <f>L29*(1+Assumptions!$N$11)</f>
        <v>182.84916299921363</v>
      </c>
      <c r="N29" s="75">
        <f>M29*(1+Assumptions!$N$11)</f>
        <v>186.50614625919792</v>
      </c>
      <c r="O29" s="75">
        <f>N29*(1+Assumptions!$N$11)</f>
        <v>190.23626918438188</v>
      </c>
      <c r="P29" s="75">
        <f>O29*(1+Assumptions!$N$11)</f>
        <v>194.04099456806952</v>
      </c>
      <c r="Q29" s="75">
        <f>P29*(1+Assumptions!$N$11)</f>
        <v>197.92181445943092</v>
      </c>
      <c r="R29" s="75">
        <f>Q29*(1+Assumptions!$N$11)</f>
        <v>201.88025074861955</v>
      </c>
      <c r="S29" s="75">
        <f>R29*(1+Assumptions!$N$11)</f>
        <v>205.91785576359194</v>
      </c>
      <c r="T29" s="75">
        <f>S29*(1+Assumptions!$N$11)</f>
        <v>210.03621287886378</v>
      </c>
      <c r="U29" s="75">
        <f>T29*(1+Assumptions!$N$11)</f>
        <v>214.23693713644107</v>
      </c>
      <c r="V29" s="75">
        <f>U29*(1+Assumptions!$N$11)</f>
        <v>218.52167587916989</v>
      </c>
      <c r="W29" s="75">
        <f>V29*(1+Assumptions!$N$11)</f>
        <v>222.89210939675328</v>
      </c>
      <c r="X29" s="75">
        <f>W29*(1+Assumptions!$N$11)</f>
        <v>227.34995158468834</v>
      </c>
      <c r="Y29" s="75">
        <f>X29*(1+Assumptions!$N$11)</f>
        <v>231.8969506163821</v>
      </c>
      <c r="Z29" s="75">
        <f>Y29*(1+Assumptions!$N$11)</f>
        <v>236.53488962870975</v>
      </c>
      <c r="AA29" s="75">
        <f>Z29*(1+Assumptions!$N$11)</f>
        <v>241.26558742128395</v>
      </c>
      <c r="AB29" s="75">
        <f>AA29*(1+Assumptions!$N$11)</f>
        <v>246.09089916970964</v>
      </c>
      <c r="AC29" s="75">
        <f>AB29*(1+Assumptions!$N$11)</f>
        <v>251.01271715310384</v>
      </c>
      <c r="AD29" s="75">
        <f>AC29*(1+Assumptions!$N$11)</f>
        <v>256.03297149616594</v>
      </c>
      <c r="AE29" s="75">
        <f>AD29*(1+Assumptions!$N$11)</f>
        <v>261.15363092608925</v>
      </c>
      <c r="AF29" s="75">
        <f>AE29*(1+Assumptions!$N$11)</f>
        <v>266.37670354461102</v>
      </c>
      <c r="AG29" s="75">
        <f>AF29*(1+Assumptions!$N$11)</f>
        <v>271.70423761550325</v>
      </c>
    </row>
    <row r="30" spans="1:47">
      <c r="A30" s="3" t="s">
        <v>46</v>
      </c>
      <c r="C30" s="65">
        <f t="shared" ref="C30:X30" si="1">SUM(C16:C29)</f>
        <v>3584.2124529364955</v>
      </c>
      <c r="D30" s="65">
        <f t="shared" si="1"/>
        <v>4229.0457862698295</v>
      </c>
      <c r="E30" s="65">
        <f t="shared" si="1"/>
        <v>4254.0357862698293</v>
      </c>
      <c r="F30" s="65">
        <f t="shared" si="1"/>
        <v>4279.5255862698295</v>
      </c>
      <c r="G30" s="65">
        <f t="shared" si="1"/>
        <v>4305.5251822698292</v>
      </c>
      <c r="H30" s="65">
        <f t="shared" si="1"/>
        <v>4332.0447701898293</v>
      </c>
      <c r="I30" s="65">
        <f t="shared" si="1"/>
        <v>4359.094749868229</v>
      </c>
      <c r="J30" s="65">
        <f t="shared" si="1"/>
        <v>4386.6857291401975</v>
      </c>
      <c r="K30" s="65">
        <f t="shared" si="1"/>
        <v>4414.8285279976044</v>
      </c>
      <c r="L30" s="65">
        <f t="shared" si="1"/>
        <v>4443.5341828321607</v>
      </c>
      <c r="M30" s="65">
        <f t="shared" si="1"/>
        <v>4472.8139507634069</v>
      </c>
      <c r="N30" s="65">
        <f t="shared" si="1"/>
        <v>4502.6793140532782</v>
      </c>
      <c r="O30" s="65">
        <f t="shared" si="1"/>
        <v>4533.1419846089484</v>
      </c>
      <c r="P30" s="65">
        <f t="shared" si="1"/>
        <v>4564.2139085757299</v>
      </c>
      <c r="Q30" s="65">
        <f t="shared" si="1"/>
        <v>4595.9072710218479</v>
      </c>
      <c r="R30" s="65">
        <f t="shared" si="1"/>
        <v>4628.2345007168888</v>
      </c>
      <c r="S30" s="65">
        <f t="shared" si="1"/>
        <v>4661.2082750058298</v>
      </c>
      <c r="T30" s="65">
        <f t="shared" si="1"/>
        <v>4694.8415247805497</v>
      </c>
      <c r="U30" s="65">
        <f t="shared" si="1"/>
        <v>4729.1474395507639</v>
      </c>
      <c r="V30" s="65">
        <f t="shared" si="1"/>
        <v>4764.1394726163835</v>
      </c>
      <c r="W30" s="65">
        <f t="shared" si="1"/>
        <v>4799.8313463433133</v>
      </c>
      <c r="X30" s="65">
        <f t="shared" si="1"/>
        <v>4836.2370575447831</v>
      </c>
      <c r="Y30" s="65">
        <f t="shared" ref="Y30:AG30" si="2">SUM(Y16:Y29)</f>
        <v>4873.3708829702819</v>
      </c>
      <c r="Z30" s="65">
        <f t="shared" si="2"/>
        <v>4911.2473849042917</v>
      </c>
      <c r="AA30" s="65">
        <f t="shared" si="2"/>
        <v>4949.8814168769813</v>
      </c>
      <c r="AB30" s="65">
        <f t="shared" si="2"/>
        <v>4989.288129489124</v>
      </c>
      <c r="AC30" s="65">
        <f t="shared" si="2"/>
        <v>5029.4829763535099</v>
      </c>
      <c r="AD30" s="65">
        <f t="shared" si="2"/>
        <v>5070.4817201551841</v>
      </c>
      <c r="AE30" s="65">
        <f t="shared" si="2"/>
        <v>5112.3004388328909</v>
      </c>
      <c r="AF30" s="65">
        <f t="shared" si="2"/>
        <v>5154.9555318841522</v>
      </c>
      <c r="AG30" s="65">
        <f t="shared" si="2"/>
        <v>5198.463726796439</v>
      </c>
    </row>
    <row r="31" spans="1:47">
      <c r="A31" s="4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8"/>
      <c r="P31" s="358"/>
      <c r="Q31" s="358"/>
      <c r="R31" s="358"/>
      <c r="S31" s="358"/>
      <c r="T31" s="358"/>
      <c r="U31" s="358"/>
      <c r="V31" s="358"/>
      <c r="W31" s="358"/>
      <c r="X31" s="358"/>
      <c r="Y31" s="358"/>
      <c r="Z31" s="358"/>
      <c r="AA31" s="358"/>
      <c r="AB31" s="358"/>
      <c r="AC31" s="358"/>
      <c r="AD31" s="358"/>
      <c r="AE31" s="358"/>
      <c r="AF31" s="358"/>
      <c r="AG31" s="358"/>
    </row>
    <row r="32" spans="1:47">
      <c r="A32" s="1" t="s">
        <v>47</v>
      </c>
      <c r="C32" s="123">
        <f t="shared" ref="C32:X32" si="3">C13-C30</f>
        <v>8411.1006598125932</v>
      </c>
      <c r="D32" s="123">
        <f t="shared" si="3"/>
        <v>13763.923882853802</v>
      </c>
      <c r="E32" s="123">
        <f t="shared" si="3"/>
        <v>13738.933882853802</v>
      </c>
      <c r="F32" s="123">
        <f t="shared" si="3"/>
        <v>13713.444082853803</v>
      </c>
      <c r="G32" s="123">
        <f t="shared" si="3"/>
        <v>13687.444486853801</v>
      </c>
      <c r="H32" s="123">
        <f t="shared" si="3"/>
        <v>13660.924898933801</v>
      </c>
      <c r="I32" s="123">
        <f t="shared" si="3"/>
        <v>13633.874919255402</v>
      </c>
      <c r="J32" s="123">
        <f t="shared" si="3"/>
        <v>13606.283939983434</v>
      </c>
      <c r="K32" s="123">
        <f t="shared" si="3"/>
        <v>13578.141141126027</v>
      </c>
      <c r="L32" s="123">
        <f t="shared" si="3"/>
        <v>13549.43548629147</v>
      </c>
      <c r="M32" s="123">
        <f t="shared" si="3"/>
        <v>13520.155718360224</v>
      </c>
      <c r="N32" s="123">
        <f t="shared" si="3"/>
        <v>13490.290355070352</v>
      </c>
      <c r="O32" s="123">
        <f t="shared" si="3"/>
        <v>13459.827684514683</v>
      </c>
      <c r="P32" s="123">
        <f t="shared" si="3"/>
        <v>13428.755760547901</v>
      </c>
      <c r="Q32" s="123">
        <f t="shared" si="3"/>
        <v>13397.062398101783</v>
      </c>
      <c r="R32" s="123">
        <f t="shared" si="3"/>
        <v>13364.735168406743</v>
      </c>
      <c r="S32" s="123">
        <f t="shared" si="3"/>
        <v>13331.761394117802</v>
      </c>
      <c r="T32" s="123">
        <f t="shared" si="3"/>
        <v>13298.128144343082</v>
      </c>
      <c r="U32" s="123">
        <f t="shared" si="3"/>
        <v>13263.822229572866</v>
      </c>
      <c r="V32" s="123">
        <f t="shared" si="3"/>
        <v>13228.830196507248</v>
      </c>
      <c r="W32" s="123">
        <f t="shared" si="3"/>
        <v>13193.138322780318</v>
      </c>
      <c r="X32" s="123">
        <f t="shared" si="3"/>
        <v>13156.732611578849</v>
      </c>
      <c r="Y32" s="123">
        <f t="shared" ref="Y32:AG32" si="4">Y13-Y30</f>
        <v>13119.59878615335</v>
      </c>
      <c r="Z32" s="123">
        <f t="shared" si="4"/>
        <v>13081.722284219341</v>
      </c>
      <c r="AA32" s="123">
        <f t="shared" si="4"/>
        <v>13043.088252246649</v>
      </c>
      <c r="AB32" s="123">
        <f t="shared" si="4"/>
        <v>13003.681539634508</v>
      </c>
      <c r="AC32" s="123">
        <f t="shared" si="4"/>
        <v>12963.486692770122</v>
      </c>
      <c r="AD32" s="123">
        <f t="shared" si="4"/>
        <v>12922.487948968446</v>
      </c>
      <c r="AE32" s="123">
        <f t="shared" si="4"/>
        <v>12880.66923029074</v>
      </c>
      <c r="AF32" s="123">
        <f t="shared" si="4"/>
        <v>12838.014137239479</v>
      </c>
      <c r="AG32" s="123">
        <f t="shared" si="4"/>
        <v>2387.2197241720214</v>
      </c>
    </row>
    <row r="33" spans="1:33">
      <c r="A33" s="1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8"/>
      <c r="P33" s="358"/>
      <c r="Q33" s="358"/>
      <c r="R33" s="358"/>
      <c r="S33" s="358"/>
      <c r="T33" s="358"/>
      <c r="U33" s="358"/>
      <c r="V33" s="358"/>
      <c r="W33" s="358"/>
      <c r="X33" s="358"/>
      <c r="Y33" s="358"/>
      <c r="Z33" s="358"/>
      <c r="AA33" s="358"/>
      <c r="AB33" s="358"/>
      <c r="AC33" s="358"/>
      <c r="AD33" s="358"/>
      <c r="AE33" s="358"/>
      <c r="AF33" s="358"/>
      <c r="AG33" s="358"/>
    </row>
    <row r="34" spans="1:33">
      <c r="A34" s="3" t="s">
        <v>48</v>
      </c>
      <c r="C34" s="65">
        <f>Depreciation!D48</f>
        <v>3686.1308071237149</v>
      </c>
      <c r="D34" s="65">
        <f>Depreciation!E48</f>
        <v>5529.1962106855735</v>
      </c>
      <c r="E34" s="65">
        <f>Depreciation!F48</f>
        <v>5529.1962106855735</v>
      </c>
      <c r="F34" s="65">
        <f>Depreciation!G48</f>
        <v>5529.1962106855735</v>
      </c>
      <c r="G34" s="65">
        <f>Depreciation!H48</f>
        <v>5529.1962106855735</v>
      </c>
      <c r="H34" s="65">
        <f>Depreciation!I48</f>
        <v>4625.3723706855735</v>
      </c>
      <c r="I34" s="65">
        <f>Depreciation!J48</f>
        <v>4173.4604506855731</v>
      </c>
      <c r="J34" s="65">
        <f>Depreciation!K48</f>
        <v>4173.4604506855731</v>
      </c>
      <c r="K34" s="65">
        <f>Depreciation!L48</f>
        <v>4173.4604506855731</v>
      </c>
      <c r="L34" s="65">
        <f>Depreciation!M48</f>
        <v>4173.4604506855731</v>
      </c>
      <c r="M34" s="65">
        <f>Depreciation!N48</f>
        <v>4173.4604506855731</v>
      </c>
      <c r="N34" s="65">
        <f>Depreciation!O48</f>
        <v>4173.4604506855731</v>
      </c>
      <c r="O34" s="65">
        <f>Depreciation!P48</f>
        <v>4173.4604506855731</v>
      </c>
      <c r="P34" s="65">
        <f>Depreciation!Q48</f>
        <v>4173.4604506855731</v>
      </c>
      <c r="Q34" s="65">
        <f>Depreciation!R48</f>
        <v>4173.4604506855731</v>
      </c>
      <c r="R34" s="65">
        <f>Depreciation!S48</f>
        <v>4173.4604506855731</v>
      </c>
      <c r="S34" s="65">
        <f>Depreciation!T48</f>
        <v>4173.4604506855731</v>
      </c>
      <c r="T34" s="65">
        <f>Depreciation!U48</f>
        <v>4173.4604506855731</v>
      </c>
      <c r="U34" s="65">
        <f>Depreciation!V48</f>
        <v>4173.4604506855731</v>
      </c>
      <c r="V34" s="65">
        <f>Depreciation!W48</f>
        <v>4173.4604506855731</v>
      </c>
      <c r="W34" s="65">
        <f>Depreciation!X48</f>
        <v>4173.4604506855731</v>
      </c>
      <c r="X34" s="65">
        <f>Depreciation!Y48</f>
        <v>4173.4604506855731</v>
      </c>
      <c r="Y34" s="65">
        <f>Depreciation!Z48</f>
        <v>4173.4604506855731</v>
      </c>
      <c r="Z34" s="65">
        <f>Depreciation!AA48</f>
        <v>4173.4604506855731</v>
      </c>
      <c r="AA34" s="65">
        <f>Depreciation!AB48</f>
        <v>4173.4604506855731</v>
      </c>
      <c r="AB34" s="65">
        <f>Depreciation!AC48</f>
        <v>4173.4604506855731</v>
      </c>
      <c r="AC34" s="65">
        <f>Depreciation!AD48</f>
        <v>4173.4604506855731</v>
      </c>
      <c r="AD34" s="65">
        <f>Depreciation!AE48</f>
        <v>4173.4604506855731</v>
      </c>
      <c r="AE34" s="65">
        <f>Depreciation!AF48</f>
        <v>4173.4604506855731</v>
      </c>
      <c r="AF34" s="65">
        <f>Depreciation!AG48</f>
        <v>4173.4604506855731</v>
      </c>
      <c r="AG34" s="65">
        <f>Depreciation!AH48</f>
        <v>1391.1534835618579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4724.9698526888787</v>
      </c>
      <c r="D36" s="123">
        <f t="shared" ref="D36:X36" si="5">D32-D34</f>
        <v>8234.7276721682283</v>
      </c>
      <c r="E36" s="123">
        <f t="shared" si="5"/>
        <v>8209.7376721682285</v>
      </c>
      <c r="F36" s="123">
        <f t="shared" si="5"/>
        <v>8184.2478721682292</v>
      </c>
      <c r="G36" s="123">
        <f t="shared" si="5"/>
        <v>8158.2482761682277</v>
      </c>
      <c r="H36" s="123">
        <f t="shared" si="5"/>
        <v>9035.5525282482267</v>
      </c>
      <c r="I36" s="123">
        <f t="shared" si="5"/>
        <v>9460.4144685698302</v>
      </c>
      <c r="J36" s="123">
        <f t="shared" si="5"/>
        <v>9432.8234892978617</v>
      </c>
      <c r="K36" s="123">
        <f t="shared" si="5"/>
        <v>9404.6806904404548</v>
      </c>
      <c r="L36" s="123">
        <f t="shared" si="5"/>
        <v>9375.9750356058976</v>
      </c>
      <c r="M36" s="123">
        <f t="shared" si="5"/>
        <v>9346.6952676746514</v>
      </c>
      <c r="N36" s="123">
        <f t="shared" si="5"/>
        <v>9316.8299043847801</v>
      </c>
      <c r="O36" s="123">
        <f t="shared" si="5"/>
        <v>9286.3672338291108</v>
      </c>
      <c r="P36" s="123">
        <f t="shared" si="5"/>
        <v>9255.2953098623293</v>
      </c>
      <c r="Q36" s="123">
        <f t="shared" si="5"/>
        <v>9223.6019474162094</v>
      </c>
      <c r="R36" s="123">
        <f t="shared" si="5"/>
        <v>9191.2747177211713</v>
      </c>
      <c r="S36" s="123">
        <f t="shared" si="5"/>
        <v>9158.3009434322303</v>
      </c>
      <c r="T36" s="123">
        <f t="shared" si="5"/>
        <v>9124.6676936575095</v>
      </c>
      <c r="U36" s="123">
        <f t="shared" si="5"/>
        <v>9090.3617788872943</v>
      </c>
      <c r="V36" s="123">
        <f t="shared" si="5"/>
        <v>9055.3697458216739</v>
      </c>
      <c r="W36" s="123">
        <f t="shared" si="5"/>
        <v>9019.6778720947441</v>
      </c>
      <c r="X36" s="123">
        <f t="shared" si="5"/>
        <v>8983.272160893277</v>
      </c>
      <c r="Y36" s="123">
        <f t="shared" ref="Y36:AG36" si="6">Y32-Y34</f>
        <v>8946.1383354677782</v>
      </c>
      <c r="Z36" s="123">
        <f t="shared" si="6"/>
        <v>8908.2618335337684</v>
      </c>
      <c r="AA36" s="123">
        <f t="shared" si="6"/>
        <v>8869.6278015610769</v>
      </c>
      <c r="AB36" s="123">
        <f t="shared" si="6"/>
        <v>8830.2210889489361</v>
      </c>
      <c r="AC36" s="123">
        <f t="shared" si="6"/>
        <v>8790.0262420845502</v>
      </c>
      <c r="AD36" s="123">
        <f t="shared" si="6"/>
        <v>8749.0274982828741</v>
      </c>
      <c r="AE36" s="123">
        <f t="shared" si="6"/>
        <v>8707.2087796051674</v>
      </c>
      <c r="AF36" s="123">
        <f t="shared" si="6"/>
        <v>8664.553686553907</v>
      </c>
      <c r="AG36" s="123">
        <f t="shared" si="6"/>
        <v>996.0662406101635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129</v>
      </c>
      <c r="C38" s="65">
        <f>'Revised Debt'!C18*7/12</f>
        <v>4168.8870887143103</v>
      </c>
      <c r="D38" s="65">
        <f>'Revised Debt'!D18</f>
        <v>7071.0061162301463</v>
      </c>
      <c r="E38" s="65">
        <f>'Revised Debt'!E18</f>
        <v>6990.0526292975828</v>
      </c>
      <c r="F38" s="65">
        <f>'Revised Debt'!F18</f>
        <v>6903.4323982797396</v>
      </c>
      <c r="G38" s="65">
        <f>'Revised Debt'!G18</f>
        <v>6810.7487510906476</v>
      </c>
      <c r="H38" s="65">
        <f>'Revised Debt'!H18</f>
        <v>6711.5772485983198</v>
      </c>
      <c r="I38" s="65">
        <f>'Revised Debt'!I18</f>
        <v>6605.4637409315283</v>
      </c>
      <c r="J38" s="65">
        <f>'Revised Debt'!J18</f>
        <v>6491.9222877280617</v>
      </c>
      <c r="K38" s="65">
        <f>'Revised Debt'!K18</f>
        <v>6370.4329328003523</v>
      </c>
      <c r="L38" s="65">
        <f>'Revised Debt'!L18</f>
        <v>6240.4393230277028</v>
      </c>
      <c r="M38" s="65">
        <f>'Revised Debt'!M18</f>
        <v>6101.346160570969</v>
      </c>
      <c r="N38" s="65">
        <f>'Revised Debt'!N18</f>
        <v>5952.516476742263</v>
      </c>
      <c r="O38" s="65">
        <f>'Revised Debt'!O18</f>
        <v>5793.2687150455477</v>
      </c>
      <c r="P38" s="65">
        <f>'Revised Debt'!P18</f>
        <v>5622.8736100300621</v>
      </c>
      <c r="Q38" s="65">
        <f>'Revised Debt'!Q18</f>
        <v>5440.5508476634923</v>
      </c>
      <c r="R38" s="65">
        <f>'Revised Debt'!R18</f>
        <v>5245.4654919312625</v>
      </c>
      <c r="S38" s="65">
        <f>'Revised Debt'!S18</f>
        <v>5036.7241612977768</v>
      </c>
      <c r="T38" s="65">
        <f>'Revised Debt'!T18</f>
        <v>4813.3709375199478</v>
      </c>
      <c r="U38" s="65">
        <f>'Revised Debt'!U18</f>
        <v>4574.3829880776702</v>
      </c>
      <c r="V38" s="65">
        <f>'Revised Debt'!V18</f>
        <v>4318.665882174434</v>
      </c>
      <c r="W38" s="65">
        <f>'Revised Debt'!W18</f>
        <v>4045.0485788579704</v>
      </c>
      <c r="X38" s="65">
        <f>'Revised Debt'!X18</f>
        <v>3752.2780643093547</v>
      </c>
      <c r="Y38" s="65">
        <f>'Revised Debt'!Y18</f>
        <v>3439.0136137423356</v>
      </c>
      <c r="Z38" s="65">
        <f>'Revised Debt'!Z18</f>
        <v>3103.8206516356249</v>
      </c>
      <c r="AA38" s="65">
        <f>'Revised Debt'!AA18</f>
        <v>2745.1641821814446</v>
      </c>
      <c r="AB38" s="65">
        <f>'Revised Debt'!AB18</f>
        <v>2361.4017598654718</v>
      </c>
      <c r="AC38" s="65">
        <f>'Revised Debt'!AC18</f>
        <v>1950.7759679873811</v>
      </c>
      <c r="AD38" s="65">
        <f>'Revised Debt'!AD18</f>
        <v>1511.4063706778238</v>
      </c>
      <c r="AE38" s="65">
        <f>'Revised Debt'!AE18</f>
        <v>1041.2809015565977</v>
      </c>
      <c r="AF38" s="65">
        <f>'Revised Debt'!AF18</f>
        <v>538.24664959688562</v>
      </c>
      <c r="AG38" s="65">
        <f>'Revised Debt'!AG18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197</v>
      </c>
      <c r="C40" s="123">
        <f>C36-C38</f>
        <v>556.08276397456848</v>
      </c>
      <c r="D40" s="123">
        <f t="shared" ref="D40:X40" si="7">D36-D38</f>
        <v>1163.721555938082</v>
      </c>
      <c r="E40" s="123">
        <f t="shared" si="7"/>
        <v>1219.6850428706457</v>
      </c>
      <c r="F40" s="123">
        <f t="shared" si="7"/>
        <v>1280.8154738884896</v>
      </c>
      <c r="G40" s="123">
        <f t="shared" si="7"/>
        <v>1347.4995250775801</v>
      </c>
      <c r="H40" s="123">
        <f t="shared" si="7"/>
        <v>2323.975279649907</v>
      </c>
      <c r="I40" s="123">
        <f t="shared" si="7"/>
        <v>2854.9507276383019</v>
      </c>
      <c r="J40" s="123">
        <f t="shared" si="7"/>
        <v>2940.9012015697999</v>
      </c>
      <c r="K40" s="123">
        <f t="shared" si="7"/>
        <v>3034.2477576401025</v>
      </c>
      <c r="L40" s="123">
        <f t="shared" si="7"/>
        <v>3135.5357125781948</v>
      </c>
      <c r="M40" s="123">
        <f t="shared" si="7"/>
        <v>3245.3491071036824</v>
      </c>
      <c r="N40" s="123">
        <f t="shared" si="7"/>
        <v>3364.3134276425171</v>
      </c>
      <c r="O40" s="123">
        <f t="shared" si="7"/>
        <v>3493.0985187835631</v>
      </c>
      <c r="P40" s="123">
        <f t="shared" si="7"/>
        <v>3632.4216998322672</v>
      </c>
      <c r="Q40" s="123">
        <f t="shared" si="7"/>
        <v>3783.0510997527172</v>
      </c>
      <c r="R40" s="123">
        <f t="shared" si="7"/>
        <v>3945.8092257899089</v>
      </c>
      <c r="S40" s="123">
        <f t="shared" si="7"/>
        <v>4121.5767821344534</v>
      </c>
      <c r="T40" s="123">
        <f t="shared" si="7"/>
        <v>4311.2967561375617</v>
      </c>
      <c r="U40" s="123">
        <f t="shared" si="7"/>
        <v>4515.9787908096241</v>
      </c>
      <c r="V40" s="123">
        <f t="shared" si="7"/>
        <v>4736.7038636472398</v>
      </c>
      <c r="W40" s="123">
        <f t="shared" si="7"/>
        <v>4974.6292932367742</v>
      </c>
      <c r="X40" s="123">
        <f t="shared" si="7"/>
        <v>5230.9940965839223</v>
      </c>
      <c r="Y40" s="123">
        <f t="shared" ref="Y40:AG40" si="8">Y36-Y38</f>
        <v>5507.1247217254422</v>
      </c>
      <c r="Z40" s="123">
        <f t="shared" si="8"/>
        <v>5804.4411818981434</v>
      </c>
      <c r="AA40" s="123">
        <f t="shared" si="8"/>
        <v>6124.4636193796323</v>
      </c>
      <c r="AB40" s="123">
        <f t="shared" si="8"/>
        <v>6468.8193290834643</v>
      </c>
      <c r="AC40" s="123">
        <f t="shared" si="8"/>
        <v>6839.2502740971686</v>
      </c>
      <c r="AD40" s="123">
        <f t="shared" si="8"/>
        <v>7237.6211276050508</v>
      </c>
      <c r="AE40" s="123">
        <f t="shared" si="8"/>
        <v>7665.9278780485693</v>
      </c>
      <c r="AF40" s="123">
        <f t="shared" si="8"/>
        <v>8126.3070369570214</v>
      </c>
      <c r="AG40" s="123">
        <f t="shared" si="8"/>
        <v>996.0662406101635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34">
        <f>Assumptions!N51</f>
        <v>7.0000000000000007E-2</v>
      </c>
      <c r="C42" s="74">
        <f>-C40*$B$42</f>
        <v>-38.925793478219795</v>
      </c>
      <c r="D42" s="74">
        <f t="shared" ref="D42:AG42" si="9">-D40*$B$42</f>
        <v>-81.460508915665756</v>
      </c>
      <c r="E42" s="74">
        <f t="shared" si="9"/>
        <v>-85.377953000945212</v>
      </c>
      <c r="F42" s="74">
        <f t="shared" si="9"/>
        <v>-89.657083172194277</v>
      </c>
      <c r="G42" s="74">
        <f t="shared" si="9"/>
        <v>-94.324966755430609</v>
      </c>
      <c r="H42" s="74">
        <f t="shared" si="9"/>
        <v>-162.67826957549352</v>
      </c>
      <c r="I42" s="74">
        <f t="shared" si="9"/>
        <v>-199.84655093468115</v>
      </c>
      <c r="J42" s="74">
        <f t="shared" si="9"/>
        <v>-205.86308410988602</v>
      </c>
      <c r="K42" s="74">
        <f t="shared" si="9"/>
        <v>-212.39734303480719</v>
      </c>
      <c r="L42" s="74">
        <f t="shared" si="9"/>
        <v>-219.48749988047365</v>
      </c>
      <c r="M42" s="74">
        <f t="shared" si="9"/>
        <v>-227.1744374972578</v>
      </c>
      <c r="N42" s="74">
        <f t="shared" si="9"/>
        <v>-235.50193993497624</v>
      </c>
      <c r="O42" s="74">
        <f t="shared" si="9"/>
        <v>-244.51689631484945</v>
      </c>
      <c r="P42" s="74">
        <f t="shared" si="9"/>
        <v>-254.26951898825874</v>
      </c>
      <c r="Q42" s="74">
        <f t="shared" si="9"/>
        <v>-264.81357698269022</v>
      </c>
      <c r="R42" s="74">
        <f t="shared" si="9"/>
        <v>-276.20664580529365</v>
      </c>
      <c r="S42" s="74">
        <f t="shared" si="9"/>
        <v>-288.51037474941177</v>
      </c>
      <c r="T42" s="74">
        <f t="shared" si="9"/>
        <v>-301.79077292962933</v>
      </c>
      <c r="U42" s="74">
        <f t="shared" si="9"/>
        <v>-316.1185153566737</v>
      </c>
      <c r="V42" s="74">
        <f t="shared" si="9"/>
        <v>-331.56927045530682</v>
      </c>
      <c r="W42" s="74">
        <f t="shared" si="9"/>
        <v>-348.22405052657422</v>
      </c>
      <c r="X42" s="74">
        <f t="shared" si="9"/>
        <v>-366.16958676087461</v>
      </c>
      <c r="Y42" s="74">
        <f t="shared" si="9"/>
        <v>-385.49873052078101</v>
      </c>
      <c r="Z42" s="74">
        <f t="shared" si="9"/>
        <v>-406.31088273287008</v>
      </c>
      <c r="AA42" s="74">
        <f t="shared" si="9"/>
        <v>-428.71245335657431</v>
      </c>
      <c r="AB42" s="74">
        <f t="shared" si="9"/>
        <v>-452.81735303584253</v>
      </c>
      <c r="AC42" s="74">
        <f t="shared" si="9"/>
        <v>-478.74751918680187</v>
      </c>
      <c r="AD42" s="74">
        <f t="shared" si="9"/>
        <v>-506.63347893235363</v>
      </c>
      <c r="AE42" s="74">
        <f t="shared" si="9"/>
        <v>-536.61495146339985</v>
      </c>
      <c r="AF42" s="74">
        <f t="shared" si="9"/>
        <v>-568.84149258699154</v>
      </c>
      <c r="AG42" s="74">
        <f t="shared" si="9"/>
        <v>-69.724636842711448</v>
      </c>
    </row>
    <row r="43" spans="1:33">
      <c r="A43" s="3" t="s">
        <v>51</v>
      </c>
      <c r="B43" s="334">
        <f>Assumptions!N50</f>
        <v>0.35</v>
      </c>
      <c r="C43" s="74">
        <f t="shared" ref="C43:AG43" si="10">(C40+C42)*-$B$43</f>
        <v>-181.00493967372202</v>
      </c>
      <c r="D43" s="74">
        <f t="shared" si="10"/>
        <v>-378.7913664578457</v>
      </c>
      <c r="E43" s="74">
        <f t="shared" si="10"/>
        <v>-397.00748145439519</v>
      </c>
      <c r="F43" s="74">
        <f t="shared" si="10"/>
        <v>-416.90543675070336</v>
      </c>
      <c r="G43" s="74">
        <f t="shared" si="10"/>
        <v>-438.61109541275232</v>
      </c>
      <c r="H43" s="74">
        <f t="shared" si="10"/>
        <v>-756.45395352604464</v>
      </c>
      <c r="I43" s="74">
        <f t="shared" si="10"/>
        <v>-929.28646184626723</v>
      </c>
      <c r="J43" s="74">
        <f t="shared" si="10"/>
        <v>-957.2633411109698</v>
      </c>
      <c r="K43" s="74">
        <f t="shared" si="10"/>
        <v>-987.64764511185319</v>
      </c>
      <c r="L43" s="74">
        <f t="shared" si="10"/>
        <v>-1020.6168744442024</v>
      </c>
      <c r="M43" s="74">
        <f t="shared" si="10"/>
        <v>-1056.3611343622485</v>
      </c>
      <c r="N43" s="74">
        <f t="shared" si="10"/>
        <v>-1095.0840206976393</v>
      </c>
      <c r="O43" s="74">
        <f t="shared" si="10"/>
        <v>-1137.0035678640497</v>
      </c>
      <c r="P43" s="74">
        <f t="shared" si="10"/>
        <v>-1182.3532632954029</v>
      </c>
      <c r="Q43" s="74">
        <f t="shared" si="10"/>
        <v>-1231.3831329695092</v>
      </c>
      <c r="R43" s="74">
        <f t="shared" si="10"/>
        <v>-1284.3609029946153</v>
      </c>
      <c r="S43" s="74">
        <f t="shared" si="10"/>
        <v>-1341.5732425847646</v>
      </c>
      <c r="T43" s="74">
        <f t="shared" si="10"/>
        <v>-1403.3270941227763</v>
      </c>
      <c r="U43" s="74">
        <f t="shared" si="10"/>
        <v>-1469.9510964085325</v>
      </c>
      <c r="V43" s="74">
        <f t="shared" si="10"/>
        <v>-1541.7971076171766</v>
      </c>
      <c r="W43" s="74">
        <f t="shared" si="10"/>
        <v>-1619.2418349485697</v>
      </c>
      <c r="X43" s="74">
        <f t="shared" si="10"/>
        <v>-1702.6885784380665</v>
      </c>
      <c r="Y43" s="74">
        <f t="shared" si="10"/>
        <v>-1792.5690969216312</v>
      </c>
      <c r="Z43" s="74">
        <f t="shared" si="10"/>
        <v>-1889.3456047078457</v>
      </c>
      <c r="AA43" s="74">
        <f t="shared" si="10"/>
        <v>-1993.51290810807</v>
      </c>
      <c r="AB43" s="74">
        <f t="shared" si="10"/>
        <v>-2105.6006916166675</v>
      </c>
      <c r="AC43" s="74">
        <f t="shared" si="10"/>
        <v>-2226.1759642186285</v>
      </c>
      <c r="AD43" s="74">
        <f t="shared" si="10"/>
        <v>-2355.8456770354437</v>
      </c>
      <c r="AE43" s="74">
        <f t="shared" si="10"/>
        <v>-2495.259524304809</v>
      </c>
      <c r="AF43" s="74">
        <f t="shared" si="10"/>
        <v>-2645.1129405295105</v>
      </c>
      <c r="AG43" s="74">
        <f t="shared" si="10"/>
        <v>-324.21956131860821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59">
        <f t="shared" ref="C45:AG45" si="11">C40+C42+C43</f>
        <v>336.15203082262667</v>
      </c>
      <c r="D45" s="359">
        <f t="shared" si="11"/>
        <v>703.46968056457058</v>
      </c>
      <c r="E45" s="359">
        <f t="shared" si="11"/>
        <v>737.29960841530533</v>
      </c>
      <c r="F45" s="359">
        <f t="shared" si="11"/>
        <v>774.25295396559204</v>
      </c>
      <c r="G45" s="359">
        <f t="shared" si="11"/>
        <v>814.56346290939723</v>
      </c>
      <c r="H45" s="359">
        <f t="shared" si="11"/>
        <v>1404.8430565483686</v>
      </c>
      <c r="I45" s="359">
        <f t="shared" si="11"/>
        <v>1725.8177148573536</v>
      </c>
      <c r="J45" s="359">
        <f t="shared" si="11"/>
        <v>1777.774776348944</v>
      </c>
      <c r="K45" s="359">
        <f t="shared" si="11"/>
        <v>1834.2027694934418</v>
      </c>
      <c r="L45" s="359">
        <f t="shared" si="11"/>
        <v>1895.4313382535188</v>
      </c>
      <c r="M45" s="359">
        <f t="shared" si="11"/>
        <v>1961.8135352441761</v>
      </c>
      <c r="N45" s="359">
        <f t="shared" si="11"/>
        <v>2033.7274670099016</v>
      </c>
      <c r="O45" s="359">
        <f t="shared" si="11"/>
        <v>2111.578054604664</v>
      </c>
      <c r="P45" s="359">
        <f t="shared" si="11"/>
        <v>2195.7989175486055</v>
      </c>
      <c r="Q45" s="359">
        <f t="shared" si="11"/>
        <v>2286.8543898005173</v>
      </c>
      <c r="R45" s="359">
        <f t="shared" si="11"/>
        <v>2385.2416769900001</v>
      </c>
      <c r="S45" s="359">
        <f t="shared" si="11"/>
        <v>2491.4931648002771</v>
      </c>
      <c r="T45" s="359">
        <f t="shared" si="11"/>
        <v>2606.1788890851558</v>
      </c>
      <c r="U45" s="359">
        <f t="shared" si="11"/>
        <v>2729.9091790444177</v>
      </c>
      <c r="V45" s="359">
        <f t="shared" si="11"/>
        <v>2863.3374855747566</v>
      </c>
      <c r="W45" s="359">
        <f t="shared" si="11"/>
        <v>3007.16340776163</v>
      </c>
      <c r="X45" s="359">
        <f t="shared" si="11"/>
        <v>3162.1359313849807</v>
      </c>
      <c r="Y45" s="359">
        <f t="shared" si="11"/>
        <v>3329.0568942830296</v>
      </c>
      <c r="Z45" s="359">
        <f t="shared" si="11"/>
        <v>3508.784694457428</v>
      </c>
      <c r="AA45" s="359">
        <f t="shared" si="11"/>
        <v>3702.2382579149876</v>
      </c>
      <c r="AB45" s="359">
        <f t="shared" si="11"/>
        <v>3910.4012844309541</v>
      </c>
      <c r="AC45" s="359">
        <f t="shared" si="11"/>
        <v>4134.326790691739</v>
      </c>
      <c r="AD45" s="359">
        <f t="shared" si="11"/>
        <v>4375.1419716372529</v>
      </c>
      <c r="AE45" s="359">
        <f t="shared" si="11"/>
        <v>4634.0534022803604</v>
      </c>
      <c r="AF45" s="359">
        <f t="shared" si="11"/>
        <v>4912.3526038405198</v>
      </c>
      <c r="AG45" s="359">
        <f t="shared" si="11"/>
        <v>602.12204244884379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/>
      <c r="AG49" s="360"/>
    </row>
    <row r="50" spans="1:33">
      <c r="A50" s="11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60"/>
      <c r="T50" s="360"/>
      <c r="U50" s="360"/>
      <c r="V50" s="360"/>
      <c r="W50" s="360"/>
      <c r="X50" s="360"/>
      <c r="Y50" s="360"/>
      <c r="Z50" s="360"/>
      <c r="AA50" s="360"/>
      <c r="AB50" s="360"/>
      <c r="AC50" s="360"/>
      <c r="AD50" s="360"/>
      <c r="AE50" s="360"/>
      <c r="AF50" s="360"/>
      <c r="AG50" s="360"/>
    </row>
    <row r="51" spans="1:33">
      <c r="C51" s="360"/>
      <c r="D51" s="360"/>
      <c r="E51" s="360"/>
      <c r="F51" s="360"/>
      <c r="G51" s="360"/>
    </row>
    <row r="52" spans="1:33">
      <c r="C52" s="6"/>
      <c r="D52" s="6"/>
      <c r="E52" s="6"/>
      <c r="F52" s="6"/>
      <c r="G52" s="6"/>
    </row>
    <row r="53" spans="1:33">
      <c r="C53" s="360"/>
      <c r="D53" s="360"/>
      <c r="E53" s="360"/>
      <c r="F53" s="360"/>
      <c r="G53" s="360"/>
    </row>
    <row r="54" spans="1:33">
      <c r="C54" s="360"/>
      <c r="D54" s="360"/>
      <c r="E54" s="360"/>
      <c r="F54" s="360"/>
      <c r="G54" s="360"/>
    </row>
    <row r="55" spans="1:33">
      <c r="C55" s="360"/>
      <c r="D55" s="360"/>
      <c r="E55" s="360"/>
      <c r="F55" s="360"/>
      <c r="G55" s="360"/>
    </row>
    <row r="56" spans="1:33">
      <c r="C56" s="360"/>
      <c r="D56" s="360"/>
      <c r="E56" s="360"/>
      <c r="F56" s="360"/>
      <c r="G56" s="360"/>
    </row>
    <row r="57" spans="1:33">
      <c r="C57" s="360"/>
      <c r="D57" s="360"/>
      <c r="E57" s="360"/>
      <c r="F57" s="360"/>
      <c r="G57" s="36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61"/>
      <c r="D60" s="361"/>
      <c r="E60" s="361"/>
      <c r="F60" s="361"/>
      <c r="G60" s="6"/>
    </row>
    <row r="61" spans="1:33">
      <c r="C61" s="6"/>
      <c r="D61" s="6"/>
      <c r="E61" s="6"/>
      <c r="F61" s="6"/>
      <c r="G61" s="6"/>
    </row>
    <row r="62" spans="1:33">
      <c r="C62" s="36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"/>
  <sheetViews>
    <sheetView workbookViewId="0">
      <selection activeCell="C24" sqref="C24"/>
    </sheetView>
  </sheetViews>
  <sheetFormatPr defaultRowHeight="12.75"/>
  <cols>
    <col min="1" max="1" width="9.140625" style="12"/>
    <col min="2" max="2" width="23.5703125" style="12" customWidth="1"/>
    <col min="3" max="3" width="12.28515625" style="12" bestFit="1" customWidth="1"/>
    <col min="4" max="4" width="10.7109375" style="12" customWidth="1"/>
    <col min="5" max="7" width="9.7109375" style="12" bestFit="1" customWidth="1"/>
    <col min="8" max="8" width="10.7109375" style="12" customWidth="1"/>
    <col min="9" max="9" width="11" style="12" customWidth="1"/>
    <col min="10" max="13" width="9.7109375" style="12" bestFit="1" customWidth="1"/>
    <col min="14" max="15" width="9.140625" style="12"/>
    <col min="16" max="22" width="10.28515625" style="12" bestFit="1" customWidth="1"/>
    <col min="23" max="16384" width="9.140625" style="12"/>
  </cols>
  <sheetData>
    <row r="1" spans="2:32" ht="13.5" thickBot="1"/>
    <row r="2" spans="2:32">
      <c r="B2" s="507"/>
      <c r="C2" s="565" t="s">
        <v>461</v>
      </c>
    </row>
    <row r="3" spans="2:32">
      <c r="B3" s="566" t="s">
        <v>537</v>
      </c>
      <c r="C3" s="567">
        <f>Assumptions!C60</f>
        <v>145850.27715618577</v>
      </c>
    </row>
    <row r="4" spans="2:32">
      <c r="B4" s="566" t="s">
        <v>535</v>
      </c>
      <c r="C4" s="568">
        <f>C3*C6</f>
        <v>102095.19400933004</v>
      </c>
    </row>
    <row r="5" spans="2:32">
      <c r="B5" s="566" t="s">
        <v>528</v>
      </c>
      <c r="C5" s="569">
        <f>C9</f>
        <v>30</v>
      </c>
    </row>
    <row r="6" spans="2:32">
      <c r="B6" s="566" t="s">
        <v>536</v>
      </c>
      <c r="C6" s="570">
        <f>Assumptions!B12</f>
        <v>0.7</v>
      </c>
    </row>
    <row r="7" spans="2:32">
      <c r="B7" s="566" t="s">
        <v>531</v>
      </c>
      <c r="C7" s="571">
        <f>1-C6</f>
        <v>0.30000000000000004</v>
      </c>
    </row>
    <row r="8" spans="2:32">
      <c r="B8" s="566" t="s">
        <v>529</v>
      </c>
      <c r="C8" s="590">
        <v>7.0000000000000007E-2</v>
      </c>
    </row>
    <row r="9" spans="2:32">
      <c r="B9" s="566" t="s">
        <v>530</v>
      </c>
      <c r="C9" s="589">
        <v>30</v>
      </c>
    </row>
    <row r="10" spans="2:32">
      <c r="B10" s="566" t="s">
        <v>532</v>
      </c>
      <c r="C10" s="568">
        <f>C3-C4</f>
        <v>43755.08314685573</v>
      </c>
    </row>
    <row r="11" spans="2:32">
      <c r="B11" s="566" t="s">
        <v>533</v>
      </c>
      <c r="C11" s="40">
        <f>Assumptions!H68</f>
        <v>273</v>
      </c>
    </row>
    <row r="12" spans="2:32" ht="13.5" thickBot="1">
      <c r="B12" s="572" t="s">
        <v>534</v>
      </c>
      <c r="C12" s="573">
        <f>Assumptions!H54</f>
        <v>5.4923594838594729</v>
      </c>
    </row>
    <row r="13" spans="2:32">
      <c r="B13" s="551"/>
      <c r="C13" s="554"/>
    </row>
    <row r="14" spans="2:32">
      <c r="C14" s="564">
        <f>IS!C6</f>
        <v>0.66666666666666663</v>
      </c>
      <c r="D14" s="564">
        <f>IS!D6</f>
        <v>1.6666666666666665</v>
      </c>
      <c r="E14" s="564">
        <f>IS!E6</f>
        <v>2.6666666666666665</v>
      </c>
      <c r="F14" s="564">
        <f>IS!F6</f>
        <v>3.6666666666666665</v>
      </c>
      <c r="G14" s="564">
        <f>IS!G6</f>
        <v>4.6666666666666661</v>
      </c>
      <c r="H14" s="564">
        <f>IS!H6</f>
        <v>5.6666666666666661</v>
      </c>
      <c r="I14" s="564">
        <f>IS!I6</f>
        <v>6.6666666666666661</v>
      </c>
      <c r="J14" s="564">
        <f>IS!J6</f>
        <v>7.6666666666666661</v>
      </c>
      <c r="K14" s="564">
        <f>IS!K6</f>
        <v>8.6666666666666661</v>
      </c>
      <c r="L14" s="564">
        <f>IS!L6</f>
        <v>9.6666666666666661</v>
      </c>
      <c r="M14" s="564">
        <f>IS!M6</f>
        <v>10.666666666666666</v>
      </c>
      <c r="N14" s="564">
        <f>IS!N6</f>
        <v>11.666666666666666</v>
      </c>
      <c r="O14" s="564">
        <f>IS!O6</f>
        <v>12.666666666666666</v>
      </c>
      <c r="P14" s="564">
        <f>IS!P6</f>
        <v>13.666666666666666</v>
      </c>
      <c r="Q14" s="564">
        <f>IS!Q6</f>
        <v>14.666666666666666</v>
      </c>
      <c r="R14" s="564">
        <f>IS!R6</f>
        <v>15.666666666666666</v>
      </c>
      <c r="S14" s="564">
        <f>IS!S6</f>
        <v>16.666666666666664</v>
      </c>
      <c r="T14" s="564">
        <f>IS!T6</f>
        <v>17.666666666666664</v>
      </c>
      <c r="U14" s="564">
        <f>IS!U6</f>
        <v>18.666666666666664</v>
      </c>
      <c r="V14" s="564">
        <f>IS!V6</f>
        <v>19.666666666666664</v>
      </c>
      <c r="W14" s="564">
        <f>IS!W6</f>
        <v>20.666666666666664</v>
      </c>
      <c r="X14" s="564">
        <f>IS!X6</f>
        <v>21.666666666666664</v>
      </c>
      <c r="Y14" s="564">
        <f>IS!Y6</f>
        <v>22.666666666666664</v>
      </c>
      <c r="Z14" s="564">
        <f>IS!Z6</f>
        <v>23.666666666666664</v>
      </c>
      <c r="AA14" s="564">
        <f>IS!AA6</f>
        <v>24.666666666666664</v>
      </c>
      <c r="AB14" s="564">
        <f>IS!AB6</f>
        <v>25.666666666666664</v>
      </c>
      <c r="AC14" s="564">
        <f>IS!AC6</f>
        <v>26.666666666666664</v>
      </c>
      <c r="AD14" s="564">
        <f>IS!AD6</f>
        <v>27.666666666666664</v>
      </c>
      <c r="AE14" s="564">
        <f>IS!AE6</f>
        <v>28.666666666666664</v>
      </c>
      <c r="AF14" s="564">
        <f>IS!AF6</f>
        <v>29.666666666666664</v>
      </c>
    </row>
    <row r="15" spans="2:32">
      <c r="C15" s="462">
        <f>IS!C7</f>
        <v>2001</v>
      </c>
      <c r="D15" s="462">
        <f>IS!D7</f>
        <v>2002</v>
      </c>
      <c r="E15" s="462">
        <f>IS!E7</f>
        <v>2003</v>
      </c>
      <c r="F15" s="462">
        <f>IS!F7</f>
        <v>2004</v>
      </c>
      <c r="G15" s="462">
        <f>IS!G7</f>
        <v>2005</v>
      </c>
      <c r="H15" s="462">
        <f>IS!H7</f>
        <v>2006</v>
      </c>
      <c r="I15" s="462">
        <f>IS!I7</f>
        <v>2007</v>
      </c>
      <c r="J15" s="462">
        <f>IS!J7</f>
        <v>2008</v>
      </c>
      <c r="K15" s="462">
        <f>IS!K7</f>
        <v>2009</v>
      </c>
      <c r="L15" s="462">
        <f>IS!L7</f>
        <v>2010</v>
      </c>
      <c r="M15" s="462">
        <f>IS!M7</f>
        <v>2011</v>
      </c>
      <c r="N15" s="462">
        <f>IS!N7</f>
        <v>2012</v>
      </c>
      <c r="O15" s="462">
        <f>IS!O7</f>
        <v>2013</v>
      </c>
      <c r="P15" s="462">
        <f>IS!P7</f>
        <v>2014</v>
      </c>
      <c r="Q15" s="462">
        <f>IS!Q7</f>
        <v>2015</v>
      </c>
      <c r="R15" s="462">
        <f>IS!R7</f>
        <v>2016</v>
      </c>
      <c r="S15" s="462">
        <f>IS!S7</f>
        <v>2017</v>
      </c>
      <c r="T15" s="462">
        <f>IS!T7</f>
        <v>2018</v>
      </c>
      <c r="U15" s="462">
        <f>IS!U7</f>
        <v>2019</v>
      </c>
      <c r="V15" s="462">
        <f>IS!V7</f>
        <v>2020</v>
      </c>
      <c r="W15" s="462">
        <f>IS!W7</f>
        <v>2021</v>
      </c>
      <c r="X15" s="462">
        <f>IS!X7</f>
        <v>2022</v>
      </c>
      <c r="Y15" s="462">
        <f>IS!Y7</f>
        <v>2023</v>
      </c>
      <c r="Z15" s="462">
        <f>IS!Z7</f>
        <v>2024</v>
      </c>
      <c r="AA15" s="462">
        <f>IS!AA7</f>
        <v>2025</v>
      </c>
      <c r="AB15" s="462">
        <f>IS!AB7</f>
        <v>2026</v>
      </c>
      <c r="AC15" s="462">
        <f>IS!AC7</f>
        <v>2027</v>
      </c>
      <c r="AD15" s="462">
        <f>IS!AD7</f>
        <v>2028</v>
      </c>
      <c r="AE15" s="462">
        <f>IS!AE7</f>
        <v>2029</v>
      </c>
      <c r="AF15" s="462">
        <f>IS!AF7</f>
        <v>2030</v>
      </c>
    </row>
    <row r="16" spans="2:32">
      <c r="B16" s="12" t="s">
        <v>538</v>
      </c>
      <c r="C16" s="36">
        <f>C4</f>
        <v>102095.19400933004</v>
      </c>
      <c r="D16" s="36">
        <f>C16-C19</f>
        <v>101014.37308900208</v>
      </c>
      <c r="E16" s="36">
        <f t="shared" ref="E16:V16" si="0">D16-D19</f>
        <v>99857.894704251172</v>
      </c>
      <c r="F16" s="36">
        <f t="shared" si="0"/>
        <v>98620.462832567704</v>
      </c>
      <c r="G16" s="36">
        <f t="shared" si="0"/>
        <v>97296.410729866388</v>
      </c>
      <c r="H16" s="36">
        <f t="shared" si="0"/>
        <v>95879.674979975985</v>
      </c>
      <c r="I16" s="36">
        <f t="shared" si="0"/>
        <v>94363.767727593251</v>
      </c>
      <c r="J16" s="36">
        <f t="shared" si="0"/>
        <v>92741.746967543731</v>
      </c>
      <c r="K16" s="36">
        <f t="shared" si="0"/>
        <v>91006.184754290734</v>
      </c>
      <c r="L16" s="36">
        <f t="shared" si="0"/>
        <v>89149.133186110033</v>
      </c>
      <c r="M16" s="36">
        <f t="shared" si="0"/>
        <v>87162.088008156687</v>
      </c>
      <c r="N16" s="36">
        <f t="shared" si="0"/>
        <v>85035.949667746609</v>
      </c>
      <c r="O16" s="36">
        <f t="shared" si="0"/>
        <v>82760.98164350781</v>
      </c>
      <c r="P16" s="36">
        <f t="shared" si="0"/>
        <v>80326.765857572304</v>
      </c>
      <c r="Q16" s="36">
        <f t="shared" si="0"/>
        <v>77722.15496662131</v>
      </c>
      <c r="R16" s="36">
        <f t="shared" si="0"/>
        <v>74935.221313303744</v>
      </c>
      <c r="S16" s="36">
        <f t="shared" si="0"/>
        <v>71953.202304253951</v>
      </c>
      <c r="T16" s="36">
        <f t="shared" si="0"/>
        <v>68762.44196457068</v>
      </c>
      <c r="U16" s="36">
        <f t="shared" si="0"/>
        <v>65348.328401109575</v>
      </c>
      <c r="V16" s="36">
        <f t="shared" si="0"/>
        <v>61695.226888206191</v>
      </c>
      <c r="W16" s="36">
        <f t="shared" ref="W16:AF16" si="1">V16-V19</f>
        <v>57786.408269399573</v>
      </c>
      <c r="X16" s="36">
        <f t="shared" si="1"/>
        <v>53603.972347276489</v>
      </c>
      <c r="Y16" s="36">
        <f t="shared" si="1"/>
        <v>49128.765910604787</v>
      </c>
      <c r="Z16" s="36">
        <f t="shared" si="1"/>
        <v>44340.295023366067</v>
      </c>
      <c r="AA16" s="36">
        <f t="shared" si="1"/>
        <v>39216.631174020637</v>
      </c>
      <c r="AB16" s="36">
        <f t="shared" si="1"/>
        <v>33734.310855221025</v>
      </c>
      <c r="AC16" s="36">
        <f t="shared" si="1"/>
        <v>27868.228114105441</v>
      </c>
      <c r="AD16" s="36">
        <f t="shared" si="1"/>
        <v>21591.519581111766</v>
      </c>
      <c r="AE16" s="36">
        <f t="shared" si="1"/>
        <v>14875.441450808536</v>
      </c>
      <c r="AF16" s="36">
        <f t="shared" si="1"/>
        <v>7689.2378513840795</v>
      </c>
    </row>
    <row r="17" spans="2:32">
      <c r="B17" s="12" t="s">
        <v>539</v>
      </c>
      <c r="C17" s="550">
        <f>-PMT($C$8,$C$9,$C$4)</f>
        <v>8227.4845009810542</v>
      </c>
      <c r="D17" s="550">
        <f t="shared" ref="D17:AF17" si="2">-PMT($C$8,$C$9,$C$4)</f>
        <v>8227.4845009810542</v>
      </c>
      <c r="E17" s="550">
        <f t="shared" si="2"/>
        <v>8227.4845009810542</v>
      </c>
      <c r="F17" s="550">
        <f t="shared" si="2"/>
        <v>8227.4845009810542</v>
      </c>
      <c r="G17" s="550">
        <f t="shared" si="2"/>
        <v>8227.4845009810542</v>
      </c>
      <c r="H17" s="550">
        <f t="shared" si="2"/>
        <v>8227.4845009810542</v>
      </c>
      <c r="I17" s="550">
        <f t="shared" si="2"/>
        <v>8227.4845009810542</v>
      </c>
      <c r="J17" s="550">
        <f t="shared" si="2"/>
        <v>8227.4845009810542</v>
      </c>
      <c r="K17" s="550">
        <f t="shared" si="2"/>
        <v>8227.4845009810542</v>
      </c>
      <c r="L17" s="550">
        <f t="shared" si="2"/>
        <v>8227.4845009810542</v>
      </c>
      <c r="M17" s="550">
        <f t="shared" si="2"/>
        <v>8227.4845009810542</v>
      </c>
      <c r="N17" s="550">
        <f t="shared" si="2"/>
        <v>8227.4845009810542</v>
      </c>
      <c r="O17" s="550">
        <f t="shared" si="2"/>
        <v>8227.4845009810542</v>
      </c>
      <c r="P17" s="550">
        <f t="shared" si="2"/>
        <v>8227.4845009810542</v>
      </c>
      <c r="Q17" s="550">
        <f t="shared" si="2"/>
        <v>8227.4845009810542</v>
      </c>
      <c r="R17" s="550">
        <f t="shared" si="2"/>
        <v>8227.4845009810542</v>
      </c>
      <c r="S17" s="550">
        <f t="shared" si="2"/>
        <v>8227.4845009810542</v>
      </c>
      <c r="T17" s="550">
        <f t="shared" si="2"/>
        <v>8227.4845009810542</v>
      </c>
      <c r="U17" s="550">
        <f t="shared" si="2"/>
        <v>8227.4845009810542</v>
      </c>
      <c r="V17" s="550">
        <f t="shared" si="2"/>
        <v>8227.4845009810542</v>
      </c>
      <c r="W17" s="550">
        <f t="shared" si="2"/>
        <v>8227.4845009810542</v>
      </c>
      <c r="X17" s="550">
        <f t="shared" si="2"/>
        <v>8227.4845009810542</v>
      </c>
      <c r="Y17" s="550">
        <f t="shared" si="2"/>
        <v>8227.4845009810542</v>
      </c>
      <c r="Z17" s="550">
        <f t="shared" si="2"/>
        <v>8227.4845009810542</v>
      </c>
      <c r="AA17" s="550">
        <f t="shared" si="2"/>
        <v>8227.4845009810542</v>
      </c>
      <c r="AB17" s="550">
        <f t="shared" si="2"/>
        <v>8227.4845009810542</v>
      </c>
      <c r="AC17" s="550">
        <f t="shared" si="2"/>
        <v>8227.4845009810542</v>
      </c>
      <c r="AD17" s="550">
        <f t="shared" si="2"/>
        <v>8227.4845009810542</v>
      </c>
      <c r="AE17" s="550">
        <f t="shared" si="2"/>
        <v>8227.4845009810542</v>
      </c>
      <c r="AF17" s="550">
        <f t="shared" si="2"/>
        <v>8227.4845009810542</v>
      </c>
    </row>
    <row r="18" spans="2:32">
      <c r="B18" s="12" t="s">
        <v>540</v>
      </c>
      <c r="C18" s="552">
        <f>C16*$C$8</f>
        <v>7146.6635806531031</v>
      </c>
      <c r="D18" s="552">
        <f>D16*$C$8</f>
        <v>7071.0061162301463</v>
      </c>
      <c r="E18" s="552">
        <f t="shared" ref="E18:V18" si="3">E16*$C$8</f>
        <v>6990.0526292975828</v>
      </c>
      <c r="F18" s="552">
        <f t="shared" si="3"/>
        <v>6903.4323982797396</v>
      </c>
      <c r="G18" s="552">
        <f t="shared" si="3"/>
        <v>6810.7487510906476</v>
      </c>
      <c r="H18" s="552">
        <f t="shared" si="3"/>
        <v>6711.5772485983198</v>
      </c>
      <c r="I18" s="552">
        <f t="shared" si="3"/>
        <v>6605.4637409315283</v>
      </c>
      <c r="J18" s="552">
        <f t="shared" si="3"/>
        <v>6491.9222877280617</v>
      </c>
      <c r="K18" s="552">
        <f t="shared" si="3"/>
        <v>6370.4329328003523</v>
      </c>
      <c r="L18" s="552">
        <f t="shared" si="3"/>
        <v>6240.4393230277028</v>
      </c>
      <c r="M18" s="552">
        <f t="shared" si="3"/>
        <v>6101.346160570969</v>
      </c>
      <c r="N18" s="552">
        <f t="shared" si="3"/>
        <v>5952.516476742263</v>
      </c>
      <c r="O18" s="552">
        <f t="shared" si="3"/>
        <v>5793.2687150455477</v>
      </c>
      <c r="P18" s="552">
        <f t="shared" si="3"/>
        <v>5622.8736100300621</v>
      </c>
      <c r="Q18" s="552">
        <f t="shared" si="3"/>
        <v>5440.5508476634923</v>
      </c>
      <c r="R18" s="552">
        <f t="shared" si="3"/>
        <v>5245.4654919312625</v>
      </c>
      <c r="S18" s="552">
        <f t="shared" si="3"/>
        <v>5036.7241612977768</v>
      </c>
      <c r="T18" s="552">
        <f t="shared" si="3"/>
        <v>4813.3709375199478</v>
      </c>
      <c r="U18" s="552">
        <f t="shared" si="3"/>
        <v>4574.3829880776702</v>
      </c>
      <c r="V18" s="552">
        <f t="shared" si="3"/>
        <v>4318.665882174434</v>
      </c>
      <c r="W18" s="552">
        <f t="shared" ref="W18:AF18" si="4">W16*$C$8</f>
        <v>4045.0485788579704</v>
      </c>
      <c r="X18" s="552">
        <f t="shared" si="4"/>
        <v>3752.2780643093547</v>
      </c>
      <c r="Y18" s="552">
        <f t="shared" si="4"/>
        <v>3439.0136137423356</v>
      </c>
      <c r="Z18" s="552">
        <f t="shared" si="4"/>
        <v>3103.8206516356249</v>
      </c>
      <c r="AA18" s="552">
        <f t="shared" si="4"/>
        <v>2745.1641821814446</v>
      </c>
      <c r="AB18" s="552">
        <f t="shared" si="4"/>
        <v>2361.4017598654718</v>
      </c>
      <c r="AC18" s="552">
        <f t="shared" si="4"/>
        <v>1950.7759679873811</v>
      </c>
      <c r="AD18" s="552">
        <f t="shared" si="4"/>
        <v>1511.4063706778238</v>
      </c>
      <c r="AE18" s="552">
        <f t="shared" si="4"/>
        <v>1041.2809015565977</v>
      </c>
      <c r="AF18" s="552">
        <f t="shared" si="4"/>
        <v>538.24664959688562</v>
      </c>
    </row>
    <row r="19" spans="2:32">
      <c r="B19" s="12" t="s">
        <v>541</v>
      </c>
      <c r="C19" s="36">
        <f>C17-C18</f>
        <v>1080.8209203279512</v>
      </c>
      <c r="D19" s="36">
        <f>D17-D18</f>
        <v>1156.4783847509079</v>
      </c>
      <c r="E19" s="36">
        <f t="shared" ref="E19:V19" si="5">E17-E18</f>
        <v>1237.4318716834714</v>
      </c>
      <c r="F19" s="36">
        <f t="shared" si="5"/>
        <v>1324.0521027013147</v>
      </c>
      <c r="G19" s="36">
        <f t="shared" si="5"/>
        <v>1416.7357498904066</v>
      </c>
      <c r="H19" s="36">
        <f t="shared" si="5"/>
        <v>1515.9072523827344</v>
      </c>
      <c r="I19" s="36">
        <f t="shared" si="5"/>
        <v>1622.020760049526</v>
      </c>
      <c r="J19" s="36">
        <f t="shared" si="5"/>
        <v>1735.5622132529925</v>
      </c>
      <c r="K19" s="36">
        <f t="shared" si="5"/>
        <v>1857.0515681807019</v>
      </c>
      <c r="L19" s="36">
        <f t="shared" si="5"/>
        <v>1987.0451779533514</v>
      </c>
      <c r="M19" s="36">
        <f t="shared" si="5"/>
        <v>2126.1383404100852</v>
      </c>
      <c r="N19" s="36">
        <f t="shared" si="5"/>
        <v>2274.9680242387913</v>
      </c>
      <c r="O19" s="36">
        <f t="shared" si="5"/>
        <v>2434.2157859355066</v>
      </c>
      <c r="P19" s="36">
        <f t="shared" si="5"/>
        <v>2604.6108909509921</v>
      </c>
      <c r="Q19" s="36">
        <f t="shared" si="5"/>
        <v>2786.9336533175619</v>
      </c>
      <c r="R19" s="36">
        <f t="shared" si="5"/>
        <v>2982.0190090497917</v>
      </c>
      <c r="S19" s="36">
        <f t="shared" si="5"/>
        <v>3190.7603396832774</v>
      </c>
      <c r="T19" s="36">
        <f t="shared" si="5"/>
        <v>3414.1135634611064</v>
      </c>
      <c r="U19" s="36">
        <f t="shared" si="5"/>
        <v>3653.101512903384</v>
      </c>
      <c r="V19" s="36">
        <f t="shared" si="5"/>
        <v>3908.8186188066202</v>
      </c>
      <c r="W19" s="36">
        <f t="shared" ref="W19:AF19" si="6">W17-W18</f>
        <v>4182.4359221230843</v>
      </c>
      <c r="X19" s="36">
        <f t="shared" si="6"/>
        <v>4475.2064366716995</v>
      </c>
      <c r="Y19" s="36">
        <f t="shared" si="6"/>
        <v>4788.4708872387182</v>
      </c>
      <c r="Z19" s="36">
        <f t="shared" si="6"/>
        <v>5123.6638493454293</v>
      </c>
      <c r="AA19" s="36">
        <f t="shared" si="6"/>
        <v>5482.3203187996096</v>
      </c>
      <c r="AB19" s="36">
        <f t="shared" si="6"/>
        <v>5866.0827411155824</v>
      </c>
      <c r="AC19" s="36">
        <f t="shared" si="6"/>
        <v>6276.7085329936726</v>
      </c>
      <c r="AD19" s="36">
        <f t="shared" si="6"/>
        <v>6716.0781303032309</v>
      </c>
      <c r="AE19" s="36">
        <f t="shared" si="6"/>
        <v>7186.2035994244561</v>
      </c>
      <c r="AF19" s="36">
        <f t="shared" si="6"/>
        <v>7689.2378513841686</v>
      </c>
    </row>
    <row r="21" spans="2:32">
      <c r="B21" s="12" t="s">
        <v>47</v>
      </c>
      <c r="C21" s="65">
        <f>IS!C32</f>
        <v>8411.1006598125932</v>
      </c>
      <c r="D21" s="65">
        <f>IS!D32</f>
        <v>13763.923882853802</v>
      </c>
      <c r="E21" s="65">
        <f>IS!E32</f>
        <v>13738.933882853802</v>
      </c>
      <c r="F21" s="65">
        <f>IS!F32</f>
        <v>13713.444082853803</v>
      </c>
      <c r="G21" s="65">
        <f>IS!G32</f>
        <v>13687.444486853801</v>
      </c>
      <c r="H21" s="65">
        <f>IS!H32</f>
        <v>13660.924898933801</v>
      </c>
      <c r="I21" s="65">
        <f>IS!I32</f>
        <v>13633.874919255402</v>
      </c>
      <c r="J21" s="65">
        <f>IS!J32</f>
        <v>13606.283939983434</v>
      </c>
      <c r="K21" s="65">
        <f>IS!K32</f>
        <v>13578.141141126027</v>
      </c>
      <c r="L21" s="65">
        <f>IS!L32</f>
        <v>13549.43548629147</v>
      </c>
      <c r="M21" s="65">
        <f>IS!M32</f>
        <v>13520.155718360224</v>
      </c>
      <c r="N21" s="65">
        <f>IS!N32</f>
        <v>13490.290355070352</v>
      </c>
      <c r="O21" s="65">
        <f>IS!O32</f>
        <v>13459.827684514683</v>
      </c>
      <c r="P21" s="65">
        <f>IS!P32</f>
        <v>13428.755760547901</v>
      </c>
      <c r="Q21" s="65">
        <f>IS!Q32</f>
        <v>13397.062398101783</v>
      </c>
      <c r="R21" s="65">
        <f>IS!R32</f>
        <v>13364.735168406743</v>
      </c>
      <c r="S21" s="65">
        <f>IS!S32</f>
        <v>13331.761394117802</v>
      </c>
      <c r="T21" s="65">
        <f>IS!T32</f>
        <v>13298.128144343082</v>
      </c>
      <c r="U21" s="65">
        <f>IS!U32</f>
        <v>13263.822229572866</v>
      </c>
      <c r="V21" s="65">
        <f>IS!V32</f>
        <v>13228.830196507248</v>
      </c>
      <c r="W21" s="65">
        <f>IS!W32</f>
        <v>13193.138322780318</v>
      </c>
      <c r="X21" s="65">
        <f>IS!X32</f>
        <v>13156.732611578849</v>
      </c>
      <c r="Y21" s="65">
        <f>IS!Y32</f>
        <v>13119.59878615335</v>
      </c>
      <c r="Z21" s="65">
        <f>IS!Z32</f>
        <v>13081.722284219341</v>
      </c>
      <c r="AA21" s="65">
        <f>IS!AA32</f>
        <v>13043.088252246649</v>
      </c>
      <c r="AB21" s="65">
        <f>IS!AB32</f>
        <v>13003.681539634508</v>
      </c>
      <c r="AC21" s="65">
        <f>IS!AC32</f>
        <v>12963.486692770122</v>
      </c>
      <c r="AD21" s="65">
        <f>IS!AD32</f>
        <v>12922.487948968446</v>
      </c>
      <c r="AE21" s="65">
        <f>IS!AE32</f>
        <v>12880.66923029074</v>
      </c>
      <c r="AF21" s="65">
        <f>IS!AF32</f>
        <v>12838.014137239479</v>
      </c>
    </row>
    <row r="22" spans="2:32" s="547" customFormat="1">
      <c r="B22" s="547" t="s">
        <v>0</v>
      </c>
      <c r="C22" s="574">
        <f>C21/(C19+C18)</f>
        <v>1.0223174116960834</v>
      </c>
      <c r="D22" s="574">
        <f t="shared" ref="D22:AF22" si="7">D21/(D19+D18)</f>
        <v>1.6729200621663374</v>
      </c>
      <c r="E22" s="574">
        <f t="shared" si="7"/>
        <v>1.6698826817863415</v>
      </c>
      <c r="F22" s="574">
        <f t="shared" si="7"/>
        <v>1.6667845537987458</v>
      </c>
      <c r="G22" s="574">
        <f t="shared" si="7"/>
        <v>1.6636244632513979</v>
      </c>
      <c r="H22" s="574">
        <f t="shared" si="7"/>
        <v>1.6604011708931032</v>
      </c>
      <c r="I22" s="574">
        <f t="shared" si="7"/>
        <v>1.6571134126876428</v>
      </c>
      <c r="J22" s="574">
        <f t="shared" si="7"/>
        <v>1.6537598993180729</v>
      </c>
      <c r="K22" s="574">
        <f t="shared" si="7"/>
        <v>1.6503393156811119</v>
      </c>
      <c r="L22" s="574">
        <f t="shared" si="7"/>
        <v>1.6468503203714113</v>
      </c>
      <c r="M22" s="574">
        <f t="shared" si="7"/>
        <v>1.643291545155517</v>
      </c>
      <c r="N22" s="574">
        <f t="shared" si="7"/>
        <v>1.6396615944353046</v>
      </c>
      <c r="O22" s="574">
        <f t="shared" si="7"/>
        <v>1.635959044700688</v>
      </c>
      <c r="P22" s="574">
        <f t="shared" si="7"/>
        <v>1.6321824439713792</v>
      </c>
      <c r="Q22" s="574">
        <f t="shared" si="7"/>
        <v>1.6283303112274843</v>
      </c>
      <c r="R22" s="574">
        <f t="shared" si="7"/>
        <v>1.6244011358287114</v>
      </c>
      <c r="S22" s="574">
        <f t="shared" si="7"/>
        <v>1.6203933769219629</v>
      </c>
      <c r="T22" s="574">
        <f t="shared" si="7"/>
        <v>1.6163054628370797</v>
      </c>
      <c r="U22" s="574">
        <f t="shared" si="7"/>
        <v>1.6121357904704985</v>
      </c>
      <c r="V22" s="574">
        <f t="shared" si="7"/>
        <v>1.6078827246565859</v>
      </c>
      <c r="W22" s="574">
        <f t="shared" si="7"/>
        <v>1.6035445975263951</v>
      </c>
      <c r="X22" s="574">
        <f t="shared" si="7"/>
        <v>1.5991197078536004</v>
      </c>
      <c r="Y22" s="574">
        <f t="shared" si="7"/>
        <v>1.59460632038735</v>
      </c>
      <c r="Z22" s="574">
        <f t="shared" si="7"/>
        <v>1.5900026651717742</v>
      </c>
      <c r="AA22" s="574">
        <f t="shared" si="7"/>
        <v>1.5853069368518868</v>
      </c>
      <c r="AB22" s="574">
        <f t="shared" si="7"/>
        <v>1.580517293965602</v>
      </c>
      <c r="AC22" s="574">
        <f t="shared" si="7"/>
        <v>1.5756318582215916</v>
      </c>
      <c r="AD22" s="574">
        <f t="shared" si="7"/>
        <v>1.5706487137627005</v>
      </c>
      <c r="AE22" s="574">
        <f t="shared" si="7"/>
        <v>1.5655659064146319</v>
      </c>
      <c r="AF22" s="574">
        <f t="shared" si="7"/>
        <v>1.5603814429196021</v>
      </c>
    </row>
    <row r="23" spans="2:32">
      <c r="B23" s="12" t="s">
        <v>368</v>
      </c>
      <c r="C23" s="598">
        <f>AVERAGE(C22:AF22)</f>
        <v>1.6016620721643531</v>
      </c>
    </row>
    <row r="24" spans="2:32">
      <c r="B24" s="12" t="s">
        <v>33</v>
      </c>
      <c r="C24" s="598">
        <f>MIN(C22:AF22)</f>
        <v>1.0223174116960834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Summary</vt:lpstr>
      <vt:lpstr>IS</vt:lpstr>
      <vt:lpstr>Revised Debt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2000-05-03T14:10:09Z</cp:lastPrinted>
  <dcterms:created xsi:type="dcterms:W3CDTF">1999-04-02T01:38:38Z</dcterms:created>
  <dcterms:modified xsi:type="dcterms:W3CDTF">2014-09-03T11:35:06Z</dcterms:modified>
</cp:coreProperties>
</file>