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335" tabRatio="520" activeTab="1"/>
  </bookViews>
  <sheets>
    <sheet name="Summary Output" sheetId="2" r:id="rId1"/>
    <sheet name="Assumptions" sheetId="23" r:id="rId2"/>
    <sheet name="Power Price Assumption" sheetId="3" r:id="rId3"/>
    <sheet name="IS" sheetId="4" r:id="rId4"/>
    <sheet name="Debt" sheetId="22" r:id="rId5"/>
    <sheet name="CF" sheetId="5" r:id="rId6"/>
    <sheet name="Depreciation" sheetId="20" r:id="rId7"/>
    <sheet name="Tax" sheetId="8" r:id="rId8"/>
    <sheet name="Brownsville" sheetId="9" r:id="rId9"/>
    <sheet name="Caledonia" sheetId="10" r:id="rId10"/>
    <sheet name="New Albany" sheetId="11" r:id="rId11"/>
    <sheet name="Gleason" sheetId="12" r:id="rId12"/>
    <sheet name="Wheatland" sheetId="13" r:id="rId13"/>
    <sheet name="Wilton" sheetId="14" r:id="rId14"/>
    <sheet name="Amortization of Power Contract" sheetId="24" r:id="rId15"/>
    <sheet name="Allocation" sheetId="16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a" hidden="1">{"Income Statement",#N/A,FALSE,"CFMODEL";"Balance Sheet",#N/A,FALSE,"CFMODEL"}</definedName>
    <definedName name="AnnualHours" localSheetId="6">[8]Assumptions!#REF!</definedName>
    <definedName name="AnnualHours">[1]Assumptions!#REF!</definedName>
    <definedName name="b" hidden="1">{"SourcesUses",#N/A,TRUE,"CFMODEL";"TransOverview",#N/A,TRUE,"CFMODEL"}</definedName>
    <definedName name="Begin_Op" localSheetId="6">'[6]Consol Summary'!$N$7</definedName>
    <definedName name="Begin_Op">[4]Sum!$N$7</definedName>
    <definedName name="blm_share" localSheetId="11">Gleason!#REF!</definedName>
    <definedName name="blm_share" localSheetId="10">'New Albany'!#REF!</definedName>
    <definedName name="blm_share" localSheetId="12">Wheatland!#REF!</definedName>
    <definedName name="chillers" localSheetId="6">'[6]Consol Summary'!$M$65</definedName>
    <definedName name="chillers">[5]PROJECTCONFIGURATION!$M$65</definedName>
    <definedName name="coso" localSheetId="11">Gleason!#REF!</definedName>
    <definedName name="coso" localSheetId="10">'New Albany'!#REF!</definedName>
    <definedName name="coso" localSheetId="12">Wheatland!#REF!</definedName>
    <definedName name="Coso_Distributable_Cash" localSheetId="11">Gleason!$D$506:$U$506</definedName>
    <definedName name="Coso_Distributable_Cash" localSheetId="10">'New Albany'!$D$517:$U$517</definedName>
    <definedName name="Coso_Distributable_Cash" localSheetId="12">Wheatland!$D$483:$U$483</definedName>
    <definedName name="Coso_Net_ATCash" localSheetId="11">Gleason!$D$507:$U$507</definedName>
    <definedName name="Coso_Net_ATCash" localSheetId="10">'New Albany'!$D$518:$U$518</definedName>
    <definedName name="Coso_Net_ATCash" localSheetId="12">Wheatland!$D$484:$U$484</definedName>
    <definedName name="Coso_Net_Income" localSheetId="11">Gleason!$D$505:$U$505</definedName>
    <definedName name="Coso_Net_Income" localSheetId="10">'New Albany'!$D$516:$U$516</definedName>
    <definedName name="Coso_Net_Income" localSheetId="12">Wheatland!$D$482:$U$482</definedName>
    <definedName name="d" hidden="1">{"SourcesUses",#N/A,TRUE,#N/A;"TransOverview",#N/A,TRUE,"CFMODEL"}</definedName>
    <definedName name="Distributable_Cash" localSheetId="11">Gleason!#REF!</definedName>
    <definedName name="Distributable_Cash" localSheetId="10">'New Albany'!#REF!</definedName>
    <definedName name="Distributable_Cash" localSheetId="12">Wheatland!#REF!</definedName>
    <definedName name="e" hidden="1">{"SourcesUses",#N/A,TRUE,"FundsFlow";"TransOverview",#N/A,TRUE,"FundsFlow"}</definedName>
    <definedName name="Energy_Credit_Coso" localSheetId="11">Gleason!$D$500:$U$500</definedName>
    <definedName name="Energy_Credit_Coso" localSheetId="10">'New Albany'!$D$511:$U$511</definedName>
    <definedName name="Energy_Credit_Coso" localSheetId="12">Wheatland!$D$477:$U$477</definedName>
    <definedName name="Energy_Credit_Imperial" localSheetId="11">Gleason!#REF!</definedName>
    <definedName name="Energy_Credit_Imperial" localSheetId="10">'New Albany'!#REF!</definedName>
    <definedName name="Energy_Credit_Imperial" localSheetId="12">Wheatland!#REF!</definedName>
    <definedName name="FPOC_Distributable_Cash" localSheetId="11">Gleason!$D$447:$N$447</definedName>
    <definedName name="FPOC_Distributable_Cash" localSheetId="10">'New Albany'!$D$458:$N$458</definedName>
    <definedName name="FPOC_Distributable_Cash" localSheetId="12">Wheatland!$D$424:$N$424</definedName>
    <definedName name="FPOC_Net_ATCash" localSheetId="11">Gleason!$D$449:$N$449</definedName>
    <definedName name="FPOC_Net_ATCash" localSheetId="10">'New Albany'!$D$460:$N$460</definedName>
    <definedName name="FPOC_Net_ATCash" localSheetId="12">Wheatland!$D$426:$N$426</definedName>
    <definedName name="FPOC_Net_Income" localSheetId="11">Gleason!$D$449:$N$449</definedName>
    <definedName name="FPOC_Net_Income" localSheetId="10">'New Albany'!$D$460:$N$460</definedName>
    <definedName name="FPOC_Net_Income" localSheetId="12">Wheatland!$D$426:$N$426</definedName>
    <definedName name="FSGC_ATCash" localSheetId="11">Gleason!$D$284:$H$284</definedName>
    <definedName name="FSGC_ATCash" localSheetId="10">'New Albany'!$D$295:$H$295</definedName>
    <definedName name="FSGC_ATCash" localSheetId="12">Wheatland!$D$261:$H$261</definedName>
    <definedName name="FSGC_Distributable_Cash" localSheetId="11">Gleason!$C$282:$H$282</definedName>
    <definedName name="FSGC_Distributable_Cash" localSheetId="10">'New Albany'!$C$293:$H$293</definedName>
    <definedName name="FSGC_Distributable_Cash" localSheetId="12">Wheatland!$C$259:$H$259</definedName>
    <definedName name="FSGC_Net_Income" localSheetId="11">Gleason!$D$284:$H$284</definedName>
    <definedName name="FSGC_Net_Income" localSheetId="10">'New Albany'!$D$295:$H$295</definedName>
    <definedName name="FSGC_Net_Income" localSheetId="12">Wheatland!$D$261:$H$261</definedName>
    <definedName name="idc">#REF!</definedName>
    <definedName name="Imperial_Distributable_Cash" localSheetId="11">Gleason!#REF!</definedName>
    <definedName name="Imperial_Distributable_Cash" localSheetId="10">'New Albany'!#REF!</definedName>
    <definedName name="Imperial_Distributable_Cash" localSheetId="12">Wheatland!#REF!</definedName>
    <definedName name="Imperial_Geothermal" localSheetId="11">Gleason!#REF!</definedName>
    <definedName name="Imperial_Geothermal" localSheetId="10">'New Albany'!#REF!</definedName>
    <definedName name="Imperial_Geothermal" localSheetId="12">Wheatland!#REF!</definedName>
    <definedName name="Imperial_Net_ATCash" localSheetId="11">Gleason!#REF!</definedName>
    <definedName name="Imperial_Net_ATCash" localSheetId="10">'New Albany'!#REF!</definedName>
    <definedName name="Imperial_Net_ATCash" localSheetId="12">Wheatland!#REF!</definedName>
    <definedName name="Imperial_Net_Income" localSheetId="11">Gleason!#REF!</definedName>
    <definedName name="Imperial_Net_Income" localSheetId="10">'New Albany'!#REF!</definedName>
    <definedName name="Imperial_Net_Income" localSheetId="12">Wheatland!#REF!</definedName>
    <definedName name="Main_Table" localSheetId="6">'[6]Consol Summary'!$D$22:$I$45</definedName>
    <definedName name="Main_Table">'[2]Maintenance Reserves'!$D$22:$I$45</definedName>
    <definedName name="Maint_Accrual" localSheetId="6">[8]Assumptions!#REF!</definedName>
    <definedName name="Maint_Accrual">[1]Assumptions!#REF!</definedName>
    <definedName name="Minerals" localSheetId="11">Gleason!#REF!</definedName>
    <definedName name="Minerals" localSheetId="10">'New Albany'!#REF!</definedName>
    <definedName name="Minerals" localSheetId="12">Wheatland!#REF!</definedName>
    <definedName name="Minerals_Distributable_Cash" localSheetId="11">Gleason!$D$183:$U$183</definedName>
    <definedName name="Minerals_Distributable_Cash" localSheetId="10">'New Albany'!$D$194:$U$194</definedName>
    <definedName name="Minerals_Distributable_Cash" localSheetId="12">Wheatland!$D$160:$U$160</definedName>
    <definedName name="Minerals_Net_ATCash" localSheetId="11">Gleason!$D$184:$U$184</definedName>
    <definedName name="Minerals_Net_ATCash" localSheetId="10">'New Albany'!$D$195:$U$195</definedName>
    <definedName name="Minerals_Net_ATCash" localSheetId="12">Wheatland!$D$161:$U$161</definedName>
    <definedName name="Minerals_Net_Income" localSheetId="11">Gleason!$D$182:$U$182</definedName>
    <definedName name="Minerals_Net_Income" localSheetId="10">'New Albany'!$D$193:$U$193</definedName>
    <definedName name="Minerals_Net_Income" localSheetId="12">Wheatland!$D$159:$U$159</definedName>
    <definedName name="navyi_share" localSheetId="11">Gleason!#REF!</definedName>
    <definedName name="navyi_share" localSheetId="10">'New Albany'!#REF!</definedName>
    <definedName name="navyi_share" localSheetId="12">Wheatland!#REF!</definedName>
    <definedName name="navyII_share" localSheetId="11">Gleason!#REF!</definedName>
    <definedName name="navyII_share" localSheetId="10">'New Albany'!#REF!</definedName>
    <definedName name="navyII_share" localSheetId="12">Wheatland!#REF!</definedName>
    <definedName name="Net_ATCash" localSheetId="11">Gleason!#REF!</definedName>
    <definedName name="Net_ATCash" localSheetId="10">'New Albany'!#REF!</definedName>
    <definedName name="Net_ATCash" localSheetId="12">Wheatland!#REF!</definedName>
    <definedName name="Net_Income_Unlevered" localSheetId="11">Gleason!#REF!</definedName>
    <definedName name="Net_Income_Unlevered" localSheetId="10">'New Albany'!#REF!</definedName>
    <definedName name="Net_Income_Unlevered" localSheetId="12">Wheatland!#REF!</definedName>
    <definedName name="Norcon_Distributable_Cash" localSheetId="11">Gleason!$B$548:$L$548</definedName>
    <definedName name="Norcon_Distributable_Cash" localSheetId="10">'New Albany'!$B$559:$L$559</definedName>
    <definedName name="Norcon_Distributable_Cash" localSheetId="12">Wheatland!$B$525:$L$525</definedName>
    <definedName name="Norcon_Net_ATCash" localSheetId="11">Gleason!$B$549:$L$549</definedName>
    <definedName name="Norcon_Net_ATCash" localSheetId="10">'New Albany'!$B$560:$L$560</definedName>
    <definedName name="Norcon_Net_ATCash" localSheetId="12">Wheatland!$B$526:$L$526</definedName>
    <definedName name="Norcon_Net_Income" localSheetId="11">Gleason!$B$547:$L$547</definedName>
    <definedName name="Norcon_Net_Income" localSheetId="10">'New Albany'!$B$558:$L$558</definedName>
    <definedName name="Norcon_Net_Income" localSheetId="12">Wheatland!$B$524:$L$524</definedName>
    <definedName name="PERIOD1" localSheetId="6">'[6]Consol Summary'!#REF!</definedName>
    <definedName name="PERIOD1">'[3]Project Assumptions'!#REF!</definedName>
    <definedName name="PERIOD2" localSheetId="6">'[6]Consol Summary'!#REF!</definedName>
    <definedName name="PERIOD2">'[3]Project Assumptions'!#REF!</definedName>
    <definedName name="PRI_Cash_Taxes" localSheetId="11">Gleason!$D$227:$H$227</definedName>
    <definedName name="PRI_Cash_Taxes" localSheetId="10">'New Albany'!$D$238:$H$238</definedName>
    <definedName name="PRI_Cash_Taxes" localSheetId="12">Wheatland!$D$204:$H$204</definedName>
    <definedName name="PRI_Net_ATCash" localSheetId="11">Gleason!$D$235:$H$235</definedName>
    <definedName name="PRI_Net_ATCash" localSheetId="10">'New Albany'!$D$246:$H$246</definedName>
    <definedName name="PRI_Net_ATCash" localSheetId="12">Wheatland!$D$212:$H$212</definedName>
    <definedName name="PRI_Net_Income" localSheetId="11">Gleason!$D$234:$H$234</definedName>
    <definedName name="PRI_Net_Income" localSheetId="10">'New Albany'!$D$245:$H$245</definedName>
    <definedName name="PRI_Net_Income" localSheetId="12">Wheatland!$D$211:$H$211</definedName>
    <definedName name="principal" localSheetId="6">'[6]Consol Summary'!#REF!</definedName>
    <definedName name="principal">'[3]Debt Amortization'!#REF!</definedName>
    <definedName name="_xlnm.Print_Area" localSheetId="15">Allocation!$A$1:$E$17</definedName>
    <definedName name="_xlnm.Print_Area" localSheetId="14">'Amortization of Power Contract'!$A$2:$F$54</definedName>
    <definedName name="_xlnm.Print_Area" localSheetId="1">Assumptions!$A$1:$K$46</definedName>
    <definedName name="_xlnm.Print_Area" localSheetId="8">Brownsville!$A$2:$U$103</definedName>
    <definedName name="_xlnm.Print_Area" localSheetId="9">Caledonia!$A$2:$U$100</definedName>
    <definedName name="_xlnm.Print_Area" localSheetId="5">CF!$A$1:$V$40</definedName>
    <definedName name="_xlnm.Print_Area" localSheetId="4">Debt!$A$1:$U$88</definedName>
    <definedName name="_xlnm.Print_Area" localSheetId="6">Depreciation!$A$2:$V$107</definedName>
    <definedName name="_xlnm.Print_Area" localSheetId="11">Gleason!$A$2:$U$103</definedName>
    <definedName name="_xlnm.Print_Area" localSheetId="3">IS!$A$2:$U$45</definedName>
    <definedName name="_xlnm.Print_Area" localSheetId="10">'New Albany'!$A$2:$U$100</definedName>
    <definedName name="_xlnm.Print_Area" localSheetId="0">'Summary Output'!$A$3:$G$64</definedName>
    <definedName name="_xlnm.Print_Area" localSheetId="7">Tax!$A$2:$U$24</definedName>
    <definedName name="_xlnm.Print_Area" localSheetId="12">Wheatland!$A$2:$U$104</definedName>
    <definedName name="_xlnm.Print_Area" localSheetId="13">Wilton!$A$2:$U$97</definedName>
    <definedName name="ProjectLife">'[7]Project Assumptions'!$I$15</definedName>
    <definedName name="Saranac_Distributable_Cash" localSheetId="11">Gleason!$D$402:$N$402</definedName>
    <definedName name="Saranac_Distributable_Cash" localSheetId="10">'New Albany'!$D$413:$N$413</definedName>
    <definedName name="Saranac_Distributable_Cash" localSheetId="12">Wheatland!$D$379:$N$379</definedName>
    <definedName name="Saranac_Net_ATCash" localSheetId="11">Gleason!$D$403:$N$403</definedName>
    <definedName name="Saranac_Net_ATCash" localSheetId="10">'New Albany'!$D$414:$N$414</definedName>
    <definedName name="Saranac_Net_ATCash" localSheetId="12">Wheatland!$D$380:$N$380</definedName>
    <definedName name="Saranac_Net_Income" localSheetId="11">Gleason!$D$401:$N$401</definedName>
    <definedName name="Saranac_Net_Income" localSheetId="10">'New Albany'!$D$412:$N$412</definedName>
    <definedName name="Saranac_Net_Income" localSheetId="12">Wheatland!$D$378:$N$378</definedName>
    <definedName name="solver_adj" localSheetId="4" hidden="1">Debt!$B$14,Debt!$B$34,Debt!$B$54</definedName>
    <definedName name="solver_cvg" localSheetId="4" hidden="1">0.001</definedName>
    <definedName name="solver_drv" localSheetId="4" hidden="1">1</definedName>
    <definedName name="solver_est" localSheetId="4" hidden="1">1</definedName>
    <definedName name="solver_itr" localSheetId="4" hidden="1">100</definedName>
    <definedName name="solver_lin" localSheetId="4" hidden="1">2</definedName>
    <definedName name="solver_neg" localSheetId="4" hidden="1">2</definedName>
    <definedName name="solver_num" localSheetId="4" hidden="1">0</definedName>
    <definedName name="solver_nwt" localSheetId="4" hidden="1">1</definedName>
    <definedName name="solver_opt" localSheetId="4" hidden="1">Debt!$B$2</definedName>
    <definedName name="solver_pre" localSheetId="4" hidden="1">0.000001</definedName>
    <definedName name="solver_scl" localSheetId="4" hidden="1">2</definedName>
    <definedName name="solver_sho" localSheetId="4" hidden="1">2</definedName>
    <definedName name="solver_tim" localSheetId="4" hidden="1">100</definedName>
    <definedName name="solver_tol" localSheetId="4" hidden="1">0.05</definedName>
    <definedName name="solver_typ" localSheetId="4" hidden="1">3</definedName>
    <definedName name="solver_val" localSheetId="4" hidden="1">0</definedName>
    <definedName name="StartMWh" localSheetId="6">'[6]Consol Summary'!#REF!</definedName>
    <definedName name="StartMWh">'[3]Project Assumptions'!#REF!</definedName>
    <definedName name="Tax_Depreciation" localSheetId="11">Gleason!#REF!</definedName>
    <definedName name="Tax_Depreciation" localSheetId="10">'New Albany'!#REF!</definedName>
    <definedName name="Tax_Depreciation" localSheetId="12">Wheatland!#REF!</definedName>
    <definedName name="Taxable_Income" localSheetId="11">Gleason!#REF!</definedName>
    <definedName name="Taxable_Income" localSheetId="10">'New Albany'!#REF!</definedName>
    <definedName name="Taxable_Income" localSheetId="12">Wheatland!#REF!</definedName>
    <definedName name="Variable" localSheetId="6">[8]Assumptions!#REF!</definedName>
    <definedName name="Variable">[1]Assumptions!#REF!</definedName>
    <definedName name="WaterTreatmentVar" localSheetId="6">[8]Assumptions!#REF!</definedName>
    <definedName name="WaterTreatmentVar">[1]Assumptions!#REF!</definedName>
    <definedName name="wrn.test1." localSheetId="6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6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6" hidden="1">{"SourcesUses",#N/A,TRUE,#N/A;"TransOverview",#N/A,TRUE,"CFMODEL"}</definedName>
    <definedName name="wrn.test3." hidden="1">{"SourcesUses",#N/A,TRUE,#N/A;"TransOverview",#N/A,TRUE,"CFMODEL"}</definedName>
    <definedName name="wrn.test4." localSheetId="6" hidden="1">{"SourcesUses",#N/A,TRUE,"FundsFlow";"TransOverview",#N/A,TRUE,"FundsFlow"}</definedName>
    <definedName name="wrn.test4." hidden="1">{"SourcesUses",#N/A,TRUE,"FundsFlow";"TransOverview",#N/A,TRUE,"FundsFlow"}</definedName>
    <definedName name="Yuma_Distributable_Cash" localSheetId="11">Gleason!$D$364:$U$364</definedName>
    <definedName name="Yuma_Distributable_Cash" localSheetId="10">'New Albany'!$D$375:$U$375</definedName>
    <definedName name="Yuma_Distributable_Cash" localSheetId="12">Wheatland!$D$341:$U$341</definedName>
    <definedName name="Yuma_Net_ATCash" localSheetId="11">Gleason!$D$365:$U$365</definedName>
    <definedName name="Yuma_Net_ATCash" localSheetId="10">'New Albany'!$D$376:$U$376</definedName>
    <definedName name="Yuma_Net_ATCash" localSheetId="12">Wheatland!$D$342:$U$342</definedName>
    <definedName name="Yuma_Net_Income" localSheetId="11">Gleason!$D$363:$U$363</definedName>
    <definedName name="Yuma_Net_Income" localSheetId="10">'New Albany'!$D$374:$U$374</definedName>
    <definedName name="Yuma_Net_Income" localSheetId="12">Wheatland!$D$340:$U$340</definedName>
    <definedName name="zinc" localSheetId="11">Gleason!$X$14</definedName>
    <definedName name="zinc" localSheetId="10">'New Albany'!$X$14</definedName>
    <definedName name="zinc" localSheetId="12">Wheatland!$X$11</definedName>
    <definedName name="Zinc_Distributable_Cash" localSheetId="11">Gleason!$D$128:$U$128</definedName>
    <definedName name="Zinc_Distributable_Cash" localSheetId="10">'New Albany'!$D$139:$U$139</definedName>
    <definedName name="Zinc_Distributable_Cash" localSheetId="12">Wheatland!$D$105:$U$105</definedName>
    <definedName name="Zinc_Net_ATCash" localSheetId="11">Gleason!$D$129:$U$129</definedName>
    <definedName name="Zinc_Net_ATCash" localSheetId="10">'New Albany'!$D$140:$U$140</definedName>
    <definedName name="Zinc_Net_ATCash" localSheetId="12">Wheatland!$D$106:$U$106</definedName>
    <definedName name="Zinc_Net_Income" localSheetId="11">Gleason!$D$127:$U$127</definedName>
    <definedName name="Zinc_Net_Income" localSheetId="10">'New Albany'!$D$138:$U$138</definedName>
    <definedName name="Zinc_Net_Income" localSheetId="12">Wheatland!$D$104:$U$104</definedName>
  </definedNames>
  <calcPr calcId="152511" calcMode="manual" iterate="1"/>
</workbook>
</file>

<file path=xl/calcChain.xml><?xml version="1.0" encoding="utf-8"?>
<calcChain xmlns="http://schemas.openxmlformats.org/spreadsheetml/2006/main">
  <c r="C10" i="16" l="1"/>
  <c r="E10" i="16"/>
  <c r="E17" i="16" s="1"/>
  <c r="C15" i="16"/>
  <c r="C17" i="16" s="1"/>
  <c r="E15" i="16"/>
  <c r="D9" i="24"/>
  <c r="E9" i="24"/>
  <c r="F9" i="24"/>
  <c r="D15" i="24"/>
  <c r="E15" i="24"/>
  <c r="F15" i="24"/>
  <c r="D21" i="24"/>
  <c r="E21" i="24"/>
  <c r="F21" i="24"/>
  <c r="D27" i="24"/>
  <c r="E27" i="24"/>
  <c r="F27" i="24"/>
  <c r="D33" i="24"/>
  <c r="E33" i="24"/>
  <c r="F33" i="24"/>
  <c r="D39" i="24"/>
  <c r="E39" i="24"/>
  <c r="F39" i="24"/>
  <c r="C45" i="24"/>
  <c r="C49" i="24"/>
  <c r="C53" i="24"/>
  <c r="K8" i="23"/>
  <c r="K9" i="23"/>
  <c r="K10" i="23"/>
  <c r="K11" i="23"/>
  <c r="D16" i="23"/>
  <c r="E16" i="23"/>
  <c r="G16" i="23"/>
  <c r="H16" i="23"/>
  <c r="I16" i="23"/>
  <c r="C17" i="23"/>
  <c r="D17" i="23"/>
  <c r="E17" i="23"/>
  <c r="G17" i="23"/>
  <c r="H17" i="23"/>
  <c r="I17" i="23"/>
  <c r="C18" i="23"/>
  <c r="D18" i="23"/>
  <c r="E18" i="23"/>
  <c r="G18" i="23"/>
  <c r="H18" i="23"/>
  <c r="I18" i="23"/>
  <c r="D25" i="23"/>
  <c r="E25" i="23"/>
  <c r="G25" i="23"/>
  <c r="H25" i="23"/>
  <c r="I25" i="23"/>
  <c r="C29" i="23"/>
  <c r="D29" i="23"/>
  <c r="E29" i="23"/>
  <c r="G29" i="23"/>
  <c r="H29" i="23"/>
  <c r="I29" i="23"/>
  <c r="C30" i="23"/>
  <c r="D30" i="23"/>
  <c r="E30" i="23"/>
  <c r="G30" i="23"/>
  <c r="H30" i="23"/>
  <c r="I30" i="23"/>
  <c r="C32" i="23"/>
  <c r="D32" i="23"/>
  <c r="E32" i="23"/>
  <c r="G32" i="23"/>
  <c r="H32" i="23"/>
  <c r="I32" i="23"/>
  <c r="C5" i="9"/>
  <c r="D5" i="9" s="1"/>
  <c r="E5" i="9" s="1"/>
  <c r="B10" i="9"/>
  <c r="C10" i="9" s="1"/>
  <c r="D10" i="9"/>
  <c r="W17" i="9"/>
  <c r="B22" i="9"/>
  <c r="B23" i="9"/>
  <c r="B24" i="9"/>
  <c r="B25" i="9"/>
  <c r="C25" i="9"/>
  <c r="D25" i="9"/>
  <c r="E25" i="9" s="1"/>
  <c r="F25" i="9" s="1"/>
  <c r="G25" i="9" s="1"/>
  <c r="H25" i="9" s="1"/>
  <c r="I25" i="9" s="1"/>
  <c r="J25" i="9" s="1"/>
  <c r="K25" i="9"/>
  <c r="L25" i="9" s="1"/>
  <c r="M25" i="9" s="1"/>
  <c r="N25" i="9" s="1"/>
  <c r="O25" i="9" s="1"/>
  <c r="P25" i="9" s="1"/>
  <c r="Q25" i="9" s="1"/>
  <c r="R25" i="9" s="1"/>
  <c r="S25" i="9"/>
  <c r="T25" i="9" s="1"/>
  <c r="U25" i="9" s="1"/>
  <c r="U26" i="9"/>
  <c r="W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C52" i="9"/>
  <c r="D52" i="9"/>
  <c r="E52" i="9" s="1"/>
  <c r="F52" i="9" s="1"/>
  <c r="G52" i="9"/>
  <c r="H52" i="9" s="1"/>
  <c r="I52" i="9" s="1"/>
  <c r="J52" i="9" s="1"/>
  <c r="K52" i="9" s="1"/>
  <c r="L52" i="9" s="1"/>
  <c r="M52" i="9" s="1"/>
  <c r="N52" i="9" s="1"/>
  <c r="O52" i="9" s="1"/>
  <c r="P52" i="9" s="1"/>
  <c r="Q52" i="9" s="1"/>
  <c r="R52" i="9" s="1"/>
  <c r="S52" i="9" s="1"/>
  <c r="T52" i="9" s="1"/>
  <c r="U52" i="9" s="1"/>
  <c r="B55" i="9"/>
  <c r="C55" i="9"/>
  <c r="D56" i="9" s="1"/>
  <c r="D55" i="9"/>
  <c r="E56" i="9" s="1"/>
  <c r="E55" i="9"/>
  <c r="F55" i="9"/>
  <c r="G56" i="9" s="1"/>
  <c r="G55" i="9"/>
  <c r="H55" i="9"/>
  <c r="I55" i="9"/>
  <c r="J55" i="9"/>
  <c r="K56" i="9" s="1"/>
  <c r="K55" i="9"/>
  <c r="L56" i="9" s="1"/>
  <c r="L55" i="9"/>
  <c r="M56" i="9" s="1"/>
  <c r="M55" i="9"/>
  <c r="N55" i="9"/>
  <c r="O56" i="9" s="1"/>
  <c r="O55" i="9"/>
  <c r="P55" i="9"/>
  <c r="Q55" i="9"/>
  <c r="R56" i="9" s="1"/>
  <c r="R55" i="9"/>
  <c r="S56" i="9" s="1"/>
  <c r="S55" i="9"/>
  <c r="T56" i="9" s="1"/>
  <c r="T55" i="9"/>
  <c r="F56" i="9"/>
  <c r="H56" i="9"/>
  <c r="I56" i="9"/>
  <c r="J56" i="9"/>
  <c r="N56" i="9"/>
  <c r="P56" i="9"/>
  <c r="Q56" i="9"/>
  <c r="W81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W84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G97" i="9"/>
  <c r="B5" i="10"/>
  <c r="C5" i="10"/>
  <c r="D5" i="10"/>
  <c r="E5" i="10"/>
  <c r="Z8" i="10"/>
  <c r="B10" i="10"/>
  <c r="C10" i="10"/>
  <c r="W17" i="10"/>
  <c r="B22" i="10"/>
  <c r="C22" i="10"/>
  <c r="B23" i="10"/>
  <c r="C23" i="10"/>
  <c r="D23" i="10"/>
  <c r="AB8" i="10" s="1"/>
  <c r="E23" i="10"/>
  <c r="B24" i="10"/>
  <c r="C24" i="10" s="1"/>
  <c r="D24" i="10"/>
  <c r="E24" i="10" s="1"/>
  <c r="AC8" i="10" s="1"/>
  <c r="F24" i="10"/>
  <c r="G24" i="10" s="1"/>
  <c r="H24" i="10" s="1"/>
  <c r="I24" i="10" s="1"/>
  <c r="J24" i="10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W24" i="10"/>
  <c r="B25" i="10"/>
  <c r="C25" i="10"/>
  <c r="D25" i="10"/>
  <c r="E25" i="10" s="1"/>
  <c r="F25" i="10" s="1"/>
  <c r="U26" i="10"/>
  <c r="W26" i="10" s="1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C52" i="10"/>
  <c r="D52" i="10" s="1"/>
  <c r="E52" i="10" s="1"/>
  <c r="F52" i="10" s="1"/>
  <c r="G52" i="10" s="1"/>
  <c r="H52" i="10" s="1"/>
  <c r="I52" i="10" s="1"/>
  <c r="J52" i="10" s="1"/>
  <c r="K52" i="10" s="1"/>
  <c r="L52" i="10" s="1"/>
  <c r="M52" i="10" s="1"/>
  <c r="N52" i="10" s="1"/>
  <c r="O52" i="10" s="1"/>
  <c r="P52" i="10" s="1"/>
  <c r="Q52" i="10" s="1"/>
  <c r="R52" i="10" s="1"/>
  <c r="S52" i="10" s="1"/>
  <c r="T52" i="10" s="1"/>
  <c r="U52" i="10" s="1"/>
  <c r="B55" i="10"/>
  <c r="C55" i="10"/>
  <c r="D56" i="10" s="1"/>
  <c r="D55" i="10"/>
  <c r="E55" i="10"/>
  <c r="F56" i="10" s="1"/>
  <c r="F55" i="10"/>
  <c r="G55" i="10"/>
  <c r="H56" i="10" s="1"/>
  <c r="H55" i="10"/>
  <c r="I55" i="10"/>
  <c r="J56" i="10" s="1"/>
  <c r="J55" i="10"/>
  <c r="K56" i="10" s="1"/>
  <c r="K55" i="10"/>
  <c r="L56" i="10" s="1"/>
  <c r="L55" i="10"/>
  <c r="M55" i="10"/>
  <c r="N55" i="10"/>
  <c r="O55" i="10"/>
  <c r="P56" i="10" s="1"/>
  <c r="P55" i="10"/>
  <c r="Q55" i="10"/>
  <c r="R56" i="10" s="1"/>
  <c r="R55" i="10"/>
  <c r="S56" i="10" s="1"/>
  <c r="S55" i="10"/>
  <c r="T56" i="10" s="1"/>
  <c r="T55" i="10"/>
  <c r="U55" i="10"/>
  <c r="C56" i="10"/>
  <c r="E56" i="10"/>
  <c r="G56" i="10"/>
  <c r="I56" i="10"/>
  <c r="M56" i="10"/>
  <c r="N56" i="10"/>
  <c r="O56" i="10"/>
  <c r="Q56" i="10"/>
  <c r="U56" i="10"/>
  <c r="W56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D7" i="5"/>
  <c r="E7" i="5" s="1"/>
  <c r="F7" i="5" s="1"/>
  <c r="G7" i="5" s="1"/>
  <c r="H7" i="5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B8" i="5"/>
  <c r="C13" i="5"/>
  <c r="B17" i="5"/>
  <c r="B22" i="5"/>
  <c r="D27" i="5"/>
  <c r="E27" i="5" s="1"/>
  <c r="F27" i="5"/>
  <c r="G27" i="5" s="1"/>
  <c r="H27" i="5" s="1"/>
  <c r="I27" i="5" s="1"/>
  <c r="J27" i="5" s="1"/>
  <c r="K27" i="5" s="1"/>
  <c r="L27" i="5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B30" i="5"/>
  <c r="C5" i="22"/>
  <c r="D5" i="22" s="1"/>
  <c r="E5" i="22" s="1"/>
  <c r="F5" i="22" s="1"/>
  <c r="G5" i="22"/>
  <c r="H5" i="22" s="1"/>
  <c r="I5" i="22" s="1"/>
  <c r="J5" i="22" s="1"/>
  <c r="K5" i="22" s="1"/>
  <c r="L5" i="22" s="1"/>
  <c r="M5" i="22" s="1"/>
  <c r="N5" i="22" s="1"/>
  <c r="O5" i="22" s="1"/>
  <c r="P5" i="22" s="1"/>
  <c r="Q5" i="22" s="1"/>
  <c r="R5" i="22" s="1"/>
  <c r="S5" i="22" s="1"/>
  <c r="T5" i="22" s="1"/>
  <c r="U5" i="22" s="1"/>
  <c r="B11" i="22"/>
  <c r="K105" i="22" s="1"/>
  <c r="B14" i="22"/>
  <c r="M26" i="22" s="1"/>
  <c r="F19" i="22"/>
  <c r="J19" i="22"/>
  <c r="O19" i="22"/>
  <c r="S19" i="22"/>
  <c r="C26" i="22"/>
  <c r="F26" i="22"/>
  <c r="H26" i="22"/>
  <c r="B31" i="22"/>
  <c r="B34" i="22"/>
  <c r="H39" i="22" s="1"/>
  <c r="B37" i="22"/>
  <c r="B39" i="22"/>
  <c r="C39" i="22"/>
  <c r="D39" i="22"/>
  <c r="E39" i="22"/>
  <c r="F39" i="22"/>
  <c r="I39" i="22"/>
  <c r="J39" i="22"/>
  <c r="K39" i="22"/>
  <c r="L39" i="22"/>
  <c r="M39" i="22"/>
  <c r="N39" i="22"/>
  <c r="P39" i="22"/>
  <c r="R39" i="22"/>
  <c r="S39" i="22"/>
  <c r="T39" i="22"/>
  <c r="U39" i="22"/>
  <c r="B46" i="22"/>
  <c r="C46" i="22"/>
  <c r="D46" i="22"/>
  <c r="E46" i="22"/>
  <c r="F46" i="22"/>
  <c r="H46" i="22"/>
  <c r="I46" i="22"/>
  <c r="K46" i="22"/>
  <c r="L46" i="22"/>
  <c r="M46" i="22"/>
  <c r="N46" i="22"/>
  <c r="P46" i="22"/>
  <c r="Q46" i="22"/>
  <c r="R46" i="22"/>
  <c r="T46" i="22"/>
  <c r="U46" i="22"/>
  <c r="B51" i="22"/>
  <c r="B54" i="22"/>
  <c r="B57" i="22"/>
  <c r="B59" i="22"/>
  <c r="B61" i="22" s="1"/>
  <c r="C59" i="22"/>
  <c r="D59" i="22"/>
  <c r="E59" i="22"/>
  <c r="F59" i="22"/>
  <c r="H59" i="22"/>
  <c r="J59" i="22"/>
  <c r="K59" i="22"/>
  <c r="L59" i="22"/>
  <c r="M59" i="22"/>
  <c r="N59" i="22"/>
  <c r="P59" i="22"/>
  <c r="R59" i="22"/>
  <c r="S59" i="22"/>
  <c r="T59" i="22"/>
  <c r="U59" i="22"/>
  <c r="B64" i="22"/>
  <c r="B66" i="22"/>
  <c r="C66" i="22"/>
  <c r="D66" i="22"/>
  <c r="E66" i="22"/>
  <c r="F66" i="22"/>
  <c r="F75" i="22" s="1"/>
  <c r="H66" i="22"/>
  <c r="J66" i="22"/>
  <c r="K66" i="22"/>
  <c r="L66" i="22"/>
  <c r="M66" i="22"/>
  <c r="N66" i="22"/>
  <c r="P66" i="22"/>
  <c r="R66" i="22"/>
  <c r="S66" i="22"/>
  <c r="T66" i="22"/>
  <c r="U66" i="22"/>
  <c r="B72" i="22"/>
  <c r="E95" i="22"/>
  <c r="J95" i="22"/>
  <c r="O95" i="22"/>
  <c r="E96" i="22"/>
  <c r="E97" i="22" s="1"/>
  <c r="J96" i="22"/>
  <c r="O96" i="22"/>
  <c r="O97" i="22" s="1"/>
  <c r="B60" i="22" s="1"/>
  <c r="J97" i="22"/>
  <c r="E98" i="22"/>
  <c r="J98" i="22"/>
  <c r="O98" i="22"/>
  <c r="J100" i="22"/>
  <c r="O100" i="22"/>
  <c r="E105" i="22"/>
  <c r="U105" i="22"/>
  <c r="C106" i="22"/>
  <c r="N106" i="22"/>
  <c r="T106" i="22"/>
  <c r="E5" i="20"/>
  <c r="E6" i="20"/>
  <c r="F6" i="20"/>
  <c r="G6" i="20"/>
  <c r="H6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Z62" i="20"/>
  <c r="B68" i="20"/>
  <c r="C68" i="20"/>
  <c r="D68" i="20"/>
  <c r="B74" i="20"/>
  <c r="C74" i="20"/>
  <c r="D74" i="20"/>
  <c r="E74" i="20"/>
  <c r="B80" i="20"/>
  <c r="C80" i="20"/>
  <c r="D80" i="20"/>
  <c r="B86" i="20"/>
  <c r="C86" i="20"/>
  <c r="D86" i="20"/>
  <c r="E86" i="20"/>
  <c r="F86" i="20"/>
  <c r="H86" i="20"/>
  <c r="B92" i="20"/>
  <c r="C92" i="20"/>
  <c r="D92" i="20"/>
  <c r="E92" i="20"/>
  <c r="F92" i="20"/>
  <c r="B98" i="20"/>
  <c r="C98" i="20"/>
  <c r="D98" i="20"/>
  <c r="E98" i="20"/>
  <c r="F98" i="20"/>
  <c r="B5" i="12"/>
  <c r="C5" i="12" s="1"/>
  <c r="D5" i="12"/>
  <c r="E5" i="12" s="1"/>
  <c r="E16" i="12" s="1"/>
  <c r="AA8" i="12"/>
  <c r="B10" i="12"/>
  <c r="Z7" i="12" s="1"/>
  <c r="C10" i="12"/>
  <c r="D10" i="12" s="1"/>
  <c r="B11" i="12"/>
  <c r="C11" i="12"/>
  <c r="AA7" i="12" s="1"/>
  <c r="AA9" i="12" s="1"/>
  <c r="D11" i="12"/>
  <c r="W11" i="12"/>
  <c r="W17" i="12"/>
  <c r="B22" i="12"/>
  <c r="B23" i="12"/>
  <c r="C23" i="12"/>
  <c r="B24" i="12"/>
  <c r="C24" i="12" s="1"/>
  <c r="D24" i="12"/>
  <c r="B25" i="12"/>
  <c r="C25" i="12"/>
  <c r="W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C52" i="12"/>
  <c r="D52" i="12"/>
  <c r="E52" i="12" s="1"/>
  <c r="F52" i="12"/>
  <c r="G52" i="12" s="1"/>
  <c r="H52" i="12" s="1"/>
  <c r="I52" i="12" s="1"/>
  <c r="J52" i="12"/>
  <c r="K52" i="12" s="1"/>
  <c r="L52" i="12" s="1"/>
  <c r="M52" i="12" s="1"/>
  <c r="N52" i="12" s="1"/>
  <c r="O52" i="12" s="1"/>
  <c r="P52" i="12" s="1"/>
  <c r="Q52" i="12" s="1"/>
  <c r="R52" i="12" s="1"/>
  <c r="S52" i="12" s="1"/>
  <c r="T52" i="12" s="1"/>
  <c r="U52" i="12" s="1"/>
  <c r="B55" i="12"/>
  <c r="C55" i="12"/>
  <c r="D56" i="12" s="1"/>
  <c r="D55" i="12"/>
  <c r="E55" i="12"/>
  <c r="F56" i="12" s="1"/>
  <c r="F55" i="12"/>
  <c r="G56" i="12" s="1"/>
  <c r="G55" i="12"/>
  <c r="H55" i="12"/>
  <c r="I55" i="12"/>
  <c r="J55" i="12"/>
  <c r="K55" i="12"/>
  <c r="L56" i="12" s="1"/>
  <c r="L55" i="12"/>
  <c r="M55" i="12"/>
  <c r="N56" i="12" s="1"/>
  <c r="N55" i="12"/>
  <c r="O56" i="12" s="1"/>
  <c r="O55" i="12"/>
  <c r="P56" i="12" s="1"/>
  <c r="P55" i="12"/>
  <c r="Q55" i="12"/>
  <c r="R55" i="12"/>
  <c r="S55" i="12"/>
  <c r="T56" i="12" s="1"/>
  <c r="T55" i="12"/>
  <c r="U55" i="12"/>
  <c r="C56" i="12"/>
  <c r="E56" i="12"/>
  <c r="I56" i="12"/>
  <c r="J56" i="12"/>
  <c r="K56" i="12"/>
  <c r="M56" i="12"/>
  <c r="Q56" i="12"/>
  <c r="R56" i="12"/>
  <c r="S56" i="12"/>
  <c r="U56" i="12"/>
  <c r="B77" i="12"/>
  <c r="L77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W8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B5" i="4"/>
  <c r="C5" i="4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/>
  <c r="Q5" i="4"/>
  <c r="R5" i="4" s="1"/>
  <c r="S5" i="4" s="1"/>
  <c r="T5" i="4" s="1"/>
  <c r="U5" i="4" s="1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6" i="4"/>
  <c r="C16" i="4"/>
  <c r="D16" i="4"/>
  <c r="B17" i="4"/>
  <c r="C17" i="4"/>
  <c r="D17" i="4"/>
  <c r="B27" i="4"/>
  <c r="C27" i="4"/>
  <c r="D12" i="5" s="1"/>
  <c r="E13" i="5" s="1"/>
  <c r="D27" i="4"/>
  <c r="E12" i="5" s="1"/>
  <c r="F13" i="5" s="1"/>
  <c r="E27" i="4"/>
  <c r="F12" i="5" s="1"/>
  <c r="G13" i="5" s="1"/>
  <c r="F27" i="4"/>
  <c r="G12" i="5" s="1"/>
  <c r="H13" i="5" s="1"/>
  <c r="G27" i="4"/>
  <c r="H12" i="5" s="1"/>
  <c r="I13" i="5" s="1"/>
  <c r="H27" i="4"/>
  <c r="I12" i="5" s="1"/>
  <c r="J13" i="5" s="1"/>
  <c r="I27" i="4"/>
  <c r="J12" i="5" s="1"/>
  <c r="K13" i="5" s="1"/>
  <c r="J27" i="4"/>
  <c r="K12" i="5" s="1"/>
  <c r="L13" i="5" s="1"/>
  <c r="K27" i="4"/>
  <c r="L12" i="5" s="1"/>
  <c r="M13" i="5" s="1"/>
  <c r="L27" i="4"/>
  <c r="M12" i="5" s="1"/>
  <c r="N13" i="5" s="1"/>
  <c r="M27" i="4"/>
  <c r="N12" i="5" s="1"/>
  <c r="O13" i="5" s="1"/>
  <c r="N27" i="4"/>
  <c r="O12" i="5" s="1"/>
  <c r="P13" i="5" s="1"/>
  <c r="O27" i="4"/>
  <c r="P12" i="5" s="1"/>
  <c r="Q13" i="5" s="1"/>
  <c r="P27" i="4"/>
  <c r="Q12" i="5" s="1"/>
  <c r="R13" i="5" s="1"/>
  <c r="Q27" i="4"/>
  <c r="R12" i="5" s="1"/>
  <c r="S13" i="5" s="1"/>
  <c r="R27" i="4"/>
  <c r="S12" i="5" s="1"/>
  <c r="T13" i="5" s="1"/>
  <c r="S27" i="4"/>
  <c r="T12" i="5" s="1"/>
  <c r="U13" i="5" s="1"/>
  <c r="T27" i="4"/>
  <c r="U12" i="5" s="1"/>
  <c r="V13" i="5" s="1"/>
  <c r="B5" i="11"/>
  <c r="C5" i="11"/>
  <c r="D5" i="11" s="1"/>
  <c r="E5" i="11" s="1"/>
  <c r="E23" i="11" s="1"/>
  <c r="F5" i="11"/>
  <c r="AA7" i="11"/>
  <c r="Z8" i="11"/>
  <c r="C9" i="11"/>
  <c r="D9" i="11"/>
  <c r="B10" i="11"/>
  <c r="C10" i="11"/>
  <c r="D10" i="11"/>
  <c r="AB7" i="11" s="1"/>
  <c r="B11" i="11"/>
  <c r="C11" i="11"/>
  <c r="D11" i="11" s="1"/>
  <c r="W11" i="11" s="1"/>
  <c r="E16" i="11"/>
  <c r="W17" i="11"/>
  <c r="B22" i="11"/>
  <c r="C22" i="11"/>
  <c r="D22" i="11"/>
  <c r="B23" i="11"/>
  <c r="F23" i="11"/>
  <c r="B24" i="11"/>
  <c r="C24" i="11"/>
  <c r="D24" i="11"/>
  <c r="E24" i="11" s="1"/>
  <c r="B25" i="11"/>
  <c r="C25" i="11" s="1"/>
  <c r="D25" i="11"/>
  <c r="E25" i="11"/>
  <c r="F25" i="11" s="1"/>
  <c r="G25" i="11" s="1"/>
  <c r="H25" i="11"/>
  <c r="I25" i="11" s="1"/>
  <c r="U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O28" i="4" s="1"/>
  <c r="P27" i="11"/>
  <c r="Q27" i="11"/>
  <c r="R27" i="11"/>
  <c r="S27" i="11"/>
  <c r="T27" i="11"/>
  <c r="U27" i="11"/>
  <c r="B28" i="11"/>
  <c r="C52" i="11"/>
  <c r="D52" i="11"/>
  <c r="E52" i="11"/>
  <c r="F52" i="11"/>
  <c r="G52" i="11"/>
  <c r="H52" i="11"/>
  <c r="I52" i="11" s="1"/>
  <c r="J52" i="11" s="1"/>
  <c r="K52" i="11" s="1"/>
  <c r="L52" i="11" s="1"/>
  <c r="M52" i="11" s="1"/>
  <c r="N52" i="11" s="1"/>
  <c r="O52" i="11" s="1"/>
  <c r="P52" i="11" s="1"/>
  <c r="Q52" i="11" s="1"/>
  <c r="R52" i="11" s="1"/>
  <c r="S52" i="11" s="1"/>
  <c r="T52" i="11" s="1"/>
  <c r="U52" i="11" s="1"/>
  <c r="B55" i="11"/>
  <c r="C55" i="11"/>
  <c r="D55" i="11"/>
  <c r="E55" i="11"/>
  <c r="F56" i="11" s="1"/>
  <c r="F55" i="11"/>
  <c r="G55" i="11"/>
  <c r="H55" i="11"/>
  <c r="I55" i="11"/>
  <c r="J55" i="11"/>
  <c r="K55" i="11"/>
  <c r="L56" i="11" s="1"/>
  <c r="L55" i="11"/>
  <c r="M56" i="11" s="1"/>
  <c r="M55" i="11"/>
  <c r="N56" i="11" s="1"/>
  <c r="N55" i="11"/>
  <c r="O55" i="11"/>
  <c r="P55" i="11"/>
  <c r="Q55" i="11"/>
  <c r="R56" i="11" s="1"/>
  <c r="R55" i="11"/>
  <c r="S55" i="11"/>
  <c r="T56" i="11" s="1"/>
  <c r="T55" i="11"/>
  <c r="U56" i="11" s="1"/>
  <c r="U55" i="11"/>
  <c r="C56" i="11"/>
  <c r="E56" i="11"/>
  <c r="G56" i="11"/>
  <c r="H56" i="11"/>
  <c r="I56" i="11"/>
  <c r="J56" i="11"/>
  <c r="K56" i="11"/>
  <c r="O56" i="11"/>
  <c r="P56" i="11"/>
  <c r="Q56" i="11"/>
  <c r="S56" i="11"/>
  <c r="B76" i="11"/>
  <c r="C76" i="11"/>
  <c r="G76" i="11"/>
  <c r="I76" i="11"/>
  <c r="J76" i="11"/>
  <c r="K76" i="11"/>
  <c r="L76" i="11"/>
  <c r="Q76" i="11"/>
  <c r="R76" i="11"/>
  <c r="S76" i="11"/>
  <c r="T76" i="11"/>
  <c r="U76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C8" i="3"/>
  <c r="C40" i="3" s="1"/>
  <c r="B9" i="13" s="1"/>
  <c r="D8" i="3"/>
  <c r="D27" i="3" s="1"/>
  <c r="E8" i="3"/>
  <c r="E27" i="3" s="1"/>
  <c r="C14" i="3"/>
  <c r="C24" i="3"/>
  <c r="C25" i="3" s="1"/>
  <c r="D8" i="24" s="1"/>
  <c r="G24" i="3"/>
  <c r="G25" i="3" s="1"/>
  <c r="G27" i="3" s="1"/>
  <c r="H24" i="3"/>
  <c r="H25" i="3" s="1"/>
  <c r="H27" i="3" s="1"/>
  <c r="P24" i="3"/>
  <c r="P25" i="3" s="1"/>
  <c r="P27" i="3" s="1"/>
  <c r="C27" i="3"/>
  <c r="F37" i="3"/>
  <c r="F38" i="3" s="1"/>
  <c r="F40" i="3" s="1"/>
  <c r="E15" i="13" s="1"/>
  <c r="T37" i="3"/>
  <c r="T38" i="3" s="1"/>
  <c r="T40" i="3" s="1"/>
  <c r="S15" i="13" s="1"/>
  <c r="U37" i="3"/>
  <c r="U38" i="3" s="1"/>
  <c r="U40" i="3" s="1"/>
  <c r="T15" i="13" s="1"/>
  <c r="V37" i="3"/>
  <c r="V38" i="3" s="1"/>
  <c r="V40" i="3" s="1"/>
  <c r="U15" i="13" s="1"/>
  <c r="D40" i="3"/>
  <c r="C9" i="13" s="1"/>
  <c r="E40" i="3"/>
  <c r="D9" i="13" s="1"/>
  <c r="J50" i="3"/>
  <c r="J51" i="3" s="1"/>
  <c r="J53" i="3" s="1"/>
  <c r="I15" i="14" s="1"/>
  <c r="K50" i="3"/>
  <c r="K51" i="3" s="1"/>
  <c r="K53" i="3" s="1"/>
  <c r="J15" i="14" s="1"/>
  <c r="O50" i="3"/>
  <c r="O51" i="3" s="1"/>
  <c r="O53" i="3" s="1"/>
  <c r="N15" i="14" s="1"/>
  <c r="P50" i="3"/>
  <c r="P51" i="3" s="1"/>
  <c r="P53" i="3" s="1"/>
  <c r="O15" i="14" s="1"/>
  <c r="C8" i="2"/>
  <c r="J77" i="12" s="1"/>
  <c r="C9" i="2"/>
  <c r="C10" i="2" s="1"/>
  <c r="E20" i="2"/>
  <c r="B21" i="2"/>
  <c r="C21" i="2"/>
  <c r="D21" i="2"/>
  <c r="E25" i="2"/>
  <c r="E26" i="2"/>
  <c r="B27" i="2"/>
  <c r="C27" i="2"/>
  <c r="D27" i="2"/>
  <c r="D52" i="2"/>
  <c r="E52" i="2"/>
  <c r="F52" i="2"/>
  <c r="D54" i="2"/>
  <c r="E54" i="2"/>
  <c r="F54" i="2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B5" i="13"/>
  <c r="C5" i="13"/>
  <c r="D5" i="13"/>
  <c r="E5" i="13"/>
  <c r="E23" i="13" s="1"/>
  <c r="F5" i="13"/>
  <c r="Z8" i="13"/>
  <c r="B10" i="13"/>
  <c r="C10" i="13"/>
  <c r="D10" i="13"/>
  <c r="W10" i="13"/>
  <c r="B11" i="13"/>
  <c r="C11" i="13"/>
  <c r="D11" i="13" s="1"/>
  <c r="W17" i="13"/>
  <c r="B22" i="13"/>
  <c r="B23" i="13"/>
  <c r="C23" i="13"/>
  <c r="D23" i="13"/>
  <c r="B24" i="13"/>
  <c r="C24" i="13"/>
  <c r="D24" i="13" s="1"/>
  <c r="B25" i="13"/>
  <c r="C25" i="13"/>
  <c r="D25" i="13" s="1"/>
  <c r="E25" i="13" s="1"/>
  <c r="F25" i="13"/>
  <c r="G25" i="13" s="1"/>
  <c r="W26" i="13"/>
  <c r="W27" i="13"/>
  <c r="C52" i="13"/>
  <c r="D52" i="13"/>
  <c r="E52" i="13" s="1"/>
  <c r="F52" i="13" s="1"/>
  <c r="G52" i="13" s="1"/>
  <c r="H52" i="13" s="1"/>
  <c r="I52" i="13"/>
  <c r="J52" i="13"/>
  <c r="K52" i="13"/>
  <c r="L52" i="13"/>
  <c r="M52" i="13" s="1"/>
  <c r="N52" i="13" s="1"/>
  <c r="O52" i="13" s="1"/>
  <c r="P52" i="13" s="1"/>
  <c r="Q52" i="13" s="1"/>
  <c r="R52" i="13" s="1"/>
  <c r="S52" i="13" s="1"/>
  <c r="T52" i="13" s="1"/>
  <c r="U52" i="13" s="1"/>
  <c r="B55" i="13"/>
  <c r="C55" i="13"/>
  <c r="D55" i="13"/>
  <c r="E55" i="13"/>
  <c r="F55" i="13"/>
  <c r="G55" i="13"/>
  <c r="H56" i="13" s="1"/>
  <c r="H55" i="13"/>
  <c r="I56" i="13" s="1"/>
  <c r="I55" i="13"/>
  <c r="J56" i="13" s="1"/>
  <c r="J55" i="13"/>
  <c r="K56" i="13" s="1"/>
  <c r="K55" i="13"/>
  <c r="L56" i="13" s="1"/>
  <c r="L55" i="13"/>
  <c r="M55" i="13"/>
  <c r="N55" i="13"/>
  <c r="O55" i="13"/>
  <c r="P56" i="13" s="1"/>
  <c r="P55" i="13"/>
  <c r="Q56" i="13" s="1"/>
  <c r="Q55" i="13"/>
  <c r="R55" i="13"/>
  <c r="S55" i="13"/>
  <c r="T56" i="13" s="1"/>
  <c r="T55" i="13"/>
  <c r="U55" i="13"/>
  <c r="D56" i="13"/>
  <c r="E56" i="13"/>
  <c r="F56" i="13"/>
  <c r="G56" i="13"/>
  <c r="M56" i="13"/>
  <c r="N56" i="13"/>
  <c r="O56" i="13"/>
  <c r="R56" i="13"/>
  <c r="S56" i="13"/>
  <c r="U56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B5" i="14"/>
  <c r="C5" i="14"/>
  <c r="D5" i="14" s="1"/>
  <c r="E5" i="14" s="1"/>
  <c r="F5" i="14"/>
  <c r="F23" i="14" s="1"/>
  <c r="AD8" i="14"/>
  <c r="B9" i="14"/>
  <c r="C9" i="14"/>
  <c r="D9" i="14"/>
  <c r="B10" i="14"/>
  <c r="C10" i="14"/>
  <c r="AA7" i="14" s="1"/>
  <c r="D10" i="14"/>
  <c r="AB7" i="14" s="1"/>
  <c r="AB9" i="14" s="1"/>
  <c r="B11" i="14"/>
  <c r="C11" i="14" s="1"/>
  <c r="D11" i="14" s="1"/>
  <c r="W11" i="14"/>
  <c r="W17" i="14"/>
  <c r="B22" i="14"/>
  <c r="C22" i="14"/>
  <c r="D22" i="14" s="1"/>
  <c r="E22" i="14" s="1"/>
  <c r="F22" i="14"/>
  <c r="G22" i="14"/>
  <c r="H22" i="14"/>
  <c r="I22" i="14"/>
  <c r="B23" i="14"/>
  <c r="C23" i="14"/>
  <c r="D23" i="14"/>
  <c r="AB8" i="14" s="1"/>
  <c r="B24" i="14"/>
  <c r="C24" i="14"/>
  <c r="D24" i="14"/>
  <c r="E24" i="14"/>
  <c r="F24" i="14"/>
  <c r="G24" i="14"/>
  <c r="H24" i="14" s="1"/>
  <c r="I24" i="14" s="1"/>
  <c r="J24" i="14" s="1"/>
  <c r="K24" i="14" s="1"/>
  <c r="L24" i="14"/>
  <c r="M24" i="14"/>
  <c r="N24" i="14" s="1"/>
  <c r="O24" i="14" s="1"/>
  <c r="P24" i="14" s="1"/>
  <c r="Q24" i="14" s="1"/>
  <c r="R24" i="14" s="1"/>
  <c r="S24" i="14" s="1"/>
  <c r="T24" i="14" s="1"/>
  <c r="U24" i="14" s="1"/>
  <c r="B25" i="14"/>
  <c r="W26" i="14"/>
  <c r="K27" i="14"/>
  <c r="C52" i="14"/>
  <c r="D52" i="14" s="1"/>
  <c r="E52" i="14" s="1"/>
  <c r="F52" i="14" s="1"/>
  <c r="G52" i="14" s="1"/>
  <c r="H52" i="14" s="1"/>
  <c r="I52" i="14" s="1"/>
  <c r="J52" i="14" s="1"/>
  <c r="K52" i="14" s="1"/>
  <c r="L52" i="14" s="1"/>
  <c r="M52" i="14" s="1"/>
  <c r="N52" i="14" s="1"/>
  <c r="O52" i="14" s="1"/>
  <c r="P52" i="14" s="1"/>
  <c r="Q52" i="14" s="1"/>
  <c r="R52" i="14" s="1"/>
  <c r="S52" i="14" s="1"/>
  <c r="T52" i="14" s="1"/>
  <c r="U52" i="14" s="1"/>
  <c r="B55" i="14"/>
  <c r="W55" i="14" s="1"/>
  <c r="C55" i="14"/>
  <c r="D55" i="14"/>
  <c r="E55" i="14"/>
  <c r="F55" i="14"/>
  <c r="G56" i="14" s="1"/>
  <c r="G55" i="14"/>
  <c r="H56" i="14" s="1"/>
  <c r="H55" i="14"/>
  <c r="I56" i="14" s="1"/>
  <c r="I55" i="14"/>
  <c r="J56" i="14" s="1"/>
  <c r="J55" i="14"/>
  <c r="K55" i="14"/>
  <c r="L55" i="14"/>
  <c r="M55" i="14"/>
  <c r="N55" i="14"/>
  <c r="O56" i="14" s="1"/>
  <c r="O55" i="14"/>
  <c r="P56" i="14" s="1"/>
  <c r="P55" i="14"/>
  <c r="Q56" i="14" s="1"/>
  <c r="Q55" i="14"/>
  <c r="R56" i="14" s="1"/>
  <c r="R55" i="14"/>
  <c r="S56" i="14" s="1"/>
  <c r="S55" i="14"/>
  <c r="T55" i="14"/>
  <c r="U55" i="14"/>
  <c r="D56" i="14"/>
  <c r="E56" i="14"/>
  <c r="F56" i="14"/>
  <c r="K56" i="14"/>
  <c r="L56" i="14"/>
  <c r="M56" i="14"/>
  <c r="N56" i="14"/>
  <c r="T56" i="14"/>
  <c r="U56" i="14"/>
  <c r="B76" i="14"/>
  <c r="C76" i="14"/>
  <c r="D76" i="14"/>
  <c r="D78" i="14" s="1"/>
  <c r="D27" i="14" s="1"/>
  <c r="D28" i="4" s="1"/>
  <c r="E76" i="14"/>
  <c r="E78" i="14" s="1"/>
  <c r="E27" i="14" s="1"/>
  <c r="F76" i="14"/>
  <c r="F78" i="14" s="1"/>
  <c r="F27" i="14" s="1"/>
  <c r="G76" i="14"/>
  <c r="H76" i="14"/>
  <c r="I76" i="14"/>
  <c r="J76" i="14"/>
  <c r="K76" i="14"/>
  <c r="L76" i="14"/>
  <c r="L78" i="14" s="1"/>
  <c r="L27" i="14" s="1"/>
  <c r="L28" i="4" s="1"/>
  <c r="M76" i="14"/>
  <c r="M78" i="14" s="1"/>
  <c r="M27" i="14" s="1"/>
  <c r="N76" i="14"/>
  <c r="N78" i="14" s="1"/>
  <c r="N27" i="14" s="1"/>
  <c r="N28" i="4" s="1"/>
  <c r="O76" i="14"/>
  <c r="P76" i="14"/>
  <c r="Q76" i="14"/>
  <c r="R76" i="14"/>
  <c r="S76" i="14"/>
  <c r="T76" i="14"/>
  <c r="U76" i="14"/>
  <c r="B77" i="14"/>
  <c r="B78" i="14" s="1"/>
  <c r="B27" i="14" s="1"/>
  <c r="C77" i="14"/>
  <c r="C78" i="14" s="1"/>
  <c r="C27" i="14" s="1"/>
  <c r="C28" i="4" s="1"/>
  <c r="D77" i="14"/>
  <c r="E77" i="14"/>
  <c r="F77" i="14"/>
  <c r="G77" i="14"/>
  <c r="H77" i="14"/>
  <c r="I77" i="14"/>
  <c r="I78" i="14" s="1"/>
  <c r="I27" i="14" s="1"/>
  <c r="I28" i="4" s="1"/>
  <c r="J77" i="14"/>
  <c r="J78" i="14" s="1"/>
  <c r="J27" i="14" s="1"/>
  <c r="K77" i="14"/>
  <c r="K78" i="14" s="1"/>
  <c r="L77" i="14"/>
  <c r="M77" i="14"/>
  <c r="N77" i="14"/>
  <c r="O77" i="14"/>
  <c r="P77" i="14"/>
  <c r="P78" i="14" s="1"/>
  <c r="P27" i="14" s="1"/>
  <c r="Q77" i="14"/>
  <c r="Q78" i="14" s="1"/>
  <c r="Q27" i="14" s="1"/>
  <c r="Q28" i="4" s="1"/>
  <c r="R77" i="14"/>
  <c r="R78" i="14" s="1"/>
  <c r="R27" i="14" s="1"/>
  <c r="R28" i="4" s="1"/>
  <c r="S77" i="14"/>
  <c r="S78" i="14" s="1"/>
  <c r="S27" i="14" s="1"/>
  <c r="S28" i="4" s="1"/>
  <c r="T77" i="14"/>
  <c r="U77" i="14"/>
  <c r="G78" i="14"/>
  <c r="G27" i="14" s="1"/>
  <c r="H78" i="14"/>
  <c r="H27" i="14" s="1"/>
  <c r="O78" i="14"/>
  <c r="O27" i="14" s="1"/>
  <c r="T78" i="14"/>
  <c r="T27" i="14" s="1"/>
  <c r="T28" i="4" s="1"/>
  <c r="U78" i="14"/>
  <c r="U27" i="14" s="1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J25" i="11" l="1"/>
  <c r="K25" i="11" s="1"/>
  <c r="L25" i="11" s="1"/>
  <c r="M25" i="11" s="1"/>
  <c r="N25" i="11" s="1"/>
  <c r="O25" i="11" s="1"/>
  <c r="P25" i="11" s="1"/>
  <c r="Q25" i="11" s="1"/>
  <c r="R25" i="11" s="1"/>
  <c r="S25" i="11" s="1"/>
  <c r="T25" i="11" s="1"/>
  <c r="U25" i="11" s="1"/>
  <c r="W27" i="14"/>
  <c r="O15" i="9"/>
  <c r="O15" i="10"/>
  <c r="O15" i="12"/>
  <c r="O15" i="11"/>
  <c r="E24" i="13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Q24" i="13" s="1"/>
  <c r="R24" i="13" s="1"/>
  <c r="S24" i="13" s="1"/>
  <c r="T24" i="13" s="1"/>
  <c r="U24" i="13" s="1"/>
  <c r="AB8" i="13"/>
  <c r="H25" i="13"/>
  <c r="I25" i="13" s="1"/>
  <c r="J25" i="13" s="1"/>
  <c r="K25" i="13" s="1"/>
  <c r="L25" i="13" s="1"/>
  <c r="M25" i="13" s="1"/>
  <c r="N25" i="13" s="1"/>
  <c r="O25" i="13" s="1"/>
  <c r="P25" i="13" s="1"/>
  <c r="Q25" i="13" s="1"/>
  <c r="R25" i="13" s="1"/>
  <c r="S25" i="13" s="1"/>
  <c r="T25" i="13" s="1"/>
  <c r="U25" i="13" s="1"/>
  <c r="F15" i="9"/>
  <c r="F15" i="10"/>
  <c r="F15" i="12"/>
  <c r="F15" i="11"/>
  <c r="AC8" i="13"/>
  <c r="J22" i="14"/>
  <c r="B23" i="4"/>
  <c r="B28" i="13"/>
  <c r="AA8" i="14"/>
  <c r="AA9" i="14" s="1"/>
  <c r="W9" i="14"/>
  <c r="G5" i="13"/>
  <c r="F16" i="13"/>
  <c r="AD7" i="13" s="1"/>
  <c r="AD9" i="13" s="1"/>
  <c r="F23" i="13"/>
  <c r="AD8" i="13" s="1"/>
  <c r="G15" i="9"/>
  <c r="G15" i="10"/>
  <c r="G15" i="12"/>
  <c r="G15" i="11"/>
  <c r="B28" i="4"/>
  <c r="E22" i="11"/>
  <c r="H56" i="12"/>
  <c r="W55" i="12"/>
  <c r="Z8" i="14"/>
  <c r="B28" i="14"/>
  <c r="W26" i="11"/>
  <c r="X27" i="4" s="1"/>
  <c r="U27" i="4"/>
  <c r="V12" i="5" s="1"/>
  <c r="W24" i="14"/>
  <c r="B18" i="14"/>
  <c r="E16" i="13"/>
  <c r="H28" i="4"/>
  <c r="C24" i="9"/>
  <c r="D24" i="9" s="1"/>
  <c r="E24" i="9" s="1"/>
  <c r="F24" i="9" s="1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W24" i="9"/>
  <c r="W11" i="13"/>
  <c r="D24" i="3"/>
  <c r="D25" i="3" s="1"/>
  <c r="E8" i="24" s="1"/>
  <c r="L24" i="3"/>
  <c r="L25" i="3" s="1"/>
  <c r="L27" i="3" s="1"/>
  <c r="T24" i="3"/>
  <c r="T25" i="3" s="1"/>
  <c r="T27" i="3" s="1"/>
  <c r="H37" i="3"/>
  <c r="H38" i="3" s="1"/>
  <c r="H40" i="3" s="1"/>
  <c r="G15" i="13" s="1"/>
  <c r="P37" i="3"/>
  <c r="P38" i="3" s="1"/>
  <c r="P40" i="3" s="1"/>
  <c r="O15" i="13" s="1"/>
  <c r="D50" i="3"/>
  <c r="D51" i="3" s="1"/>
  <c r="E38" i="24" s="1"/>
  <c r="E40" i="24" s="1"/>
  <c r="L50" i="3"/>
  <c r="L51" i="3" s="1"/>
  <c r="L53" i="3" s="1"/>
  <c r="K15" i="14" s="1"/>
  <c r="T50" i="3"/>
  <c r="T51" i="3" s="1"/>
  <c r="T53" i="3" s="1"/>
  <c r="S15" i="14" s="1"/>
  <c r="E24" i="3"/>
  <c r="E25" i="3" s="1"/>
  <c r="F8" i="24" s="1"/>
  <c r="M24" i="3"/>
  <c r="M25" i="3" s="1"/>
  <c r="M27" i="3" s="1"/>
  <c r="U24" i="3"/>
  <c r="U25" i="3" s="1"/>
  <c r="U27" i="3" s="1"/>
  <c r="I37" i="3"/>
  <c r="I38" i="3" s="1"/>
  <c r="I40" i="3" s="1"/>
  <c r="H15" i="13" s="1"/>
  <c r="Q37" i="3"/>
  <c r="Q38" i="3" s="1"/>
  <c r="Q40" i="3" s="1"/>
  <c r="P15" i="13" s="1"/>
  <c r="E50" i="3"/>
  <c r="E51" i="3" s="1"/>
  <c r="F38" i="24" s="1"/>
  <c r="F40" i="24" s="1"/>
  <c r="M50" i="3"/>
  <c r="M51" i="3" s="1"/>
  <c r="M53" i="3" s="1"/>
  <c r="L15" i="14" s="1"/>
  <c r="U50" i="3"/>
  <c r="U51" i="3" s="1"/>
  <c r="U53" i="3" s="1"/>
  <c r="T15" i="14" s="1"/>
  <c r="F24" i="3"/>
  <c r="F25" i="3" s="1"/>
  <c r="F27" i="3" s="1"/>
  <c r="N24" i="3"/>
  <c r="N25" i="3" s="1"/>
  <c r="N27" i="3" s="1"/>
  <c r="V24" i="3"/>
  <c r="V25" i="3" s="1"/>
  <c r="V27" i="3" s="1"/>
  <c r="J37" i="3"/>
  <c r="J38" i="3" s="1"/>
  <c r="J40" i="3" s="1"/>
  <c r="I15" i="13" s="1"/>
  <c r="R37" i="3"/>
  <c r="R38" i="3" s="1"/>
  <c r="R40" i="3" s="1"/>
  <c r="Q15" i="13" s="1"/>
  <c r="F50" i="3"/>
  <c r="F51" i="3" s="1"/>
  <c r="F53" i="3" s="1"/>
  <c r="E15" i="14" s="1"/>
  <c r="N50" i="3"/>
  <c r="N51" i="3" s="1"/>
  <c r="N53" i="3" s="1"/>
  <c r="M15" i="14" s="1"/>
  <c r="V50" i="3"/>
  <c r="V51" i="3" s="1"/>
  <c r="V53" i="3" s="1"/>
  <c r="U15" i="14" s="1"/>
  <c r="I24" i="3"/>
  <c r="I25" i="3" s="1"/>
  <c r="I27" i="3" s="1"/>
  <c r="M37" i="3"/>
  <c r="M38" i="3" s="1"/>
  <c r="M40" i="3" s="1"/>
  <c r="L15" i="13" s="1"/>
  <c r="C50" i="3"/>
  <c r="C51" i="3" s="1"/>
  <c r="D38" i="24" s="1"/>
  <c r="D40" i="24" s="1"/>
  <c r="Q50" i="3"/>
  <c r="Q51" i="3" s="1"/>
  <c r="Q53" i="3" s="1"/>
  <c r="P15" i="14" s="1"/>
  <c r="J24" i="3"/>
  <c r="J25" i="3" s="1"/>
  <c r="J27" i="3" s="1"/>
  <c r="C37" i="3"/>
  <c r="C38" i="3" s="1"/>
  <c r="D32" i="24" s="1"/>
  <c r="D34" i="24" s="1"/>
  <c r="N37" i="3"/>
  <c r="N38" i="3" s="1"/>
  <c r="N40" i="3" s="1"/>
  <c r="M15" i="13" s="1"/>
  <c r="G50" i="3"/>
  <c r="G51" i="3" s="1"/>
  <c r="G53" i="3" s="1"/>
  <c r="F15" i="14" s="1"/>
  <c r="R50" i="3"/>
  <c r="R51" i="3" s="1"/>
  <c r="R53" i="3" s="1"/>
  <c r="Q15" i="14" s="1"/>
  <c r="K24" i="3"/>
  <c r="K25" i="3" s="1"/>
  <c r="K27" i="3" s="1"/>
  <c r="D37" i="3"/>
  <c r="D38" i="3" s="1"/>
  <c r="E32" i="24" s="1"/>
  <c r="E34" i="24" s="1"/>
  <c r="O37" i="3"/>
  <c r="O38" i="3" s="1"/>
  <c r="O40" i="3" s="1"/>
  <c r="N15" i="13" s="1"/>
  <c r="H50" i="3"/>
  <c r="H51" i="3" s="1"/>
  <c r="H53" i="3" s="1"/>
  <c r="G15" i="14" s="1"/>
  <c r="S50" i="3"/>
  <c r="S51" i="3" s="1"/>
  <c r="S53" i="3" s="1"/>
  <c r="R15" i="14" s="1"/>
  <c r="O24" i="3"/>
  <c r="O25" i="3" s="1"/>
  <c r="O27" i="3" s="1"/>
  <c r="E37" i="3"/>
  <c r="E38" i="3" s="1"/>
  <c r="F32" i="24" s="1"/>
  <c r="F34" i="24" s="1"/>
  <c r="S37" i="3"/>
  <c r="S38" i="3" s="1"/>
  <c r="S40" i="3" s="1"/>
  <c r="R15" i="13" s="1"/>
  <c r="I50" i="3"/>
  <c r="I51" i="3" s="1"/>
  <c r="I53" i="3" s="1"/>
  <c r="H15" i="14" s="1"/>
  <c r="C28" i="11"/>
  <c r="G28" i="4"/>
  <c r="W27" i="11"/>
  <c r="F16" i="14"/>
  <c r="AD7" i="14" s="1"/>
  <c r="AD9" i="14" s="1"/>
  <c r="W10" i="14"/>
  <c r="Z7" i="14"/>
  <c r="G5" i="14"/>
  <c r="W55" i="13"/>
  <c r="C56" i="13"/>
  <c r="W56" i="13" s="1"/>
  <c r="E27" i="2"/>
  <c r="L37" i="3"/>
  <c r="L38" i="3" s="1"/>
  <c r="L40" i="3" s="1"/>
  <c r="K15" i="13" s="1"/>
  <c r="S24" i="3"/>
  <c r="S25" i="3" s="1"/>
  <c r="S27" i="3" s="1"/>
  <c r="I6" i="20"/>
  <c r="H98" i="20"/>
  <c r="H92" i="20"/>
  <c r="J28" i="4"/>
  <c r="C25" i="14"/>
  <c r="D25" i="14" s="1"/>
  <c r="E25" i="14" s="1"/>
  <c r="F25" i="14" s="1"/>
  <c r="B26" i="4"/>
  <c r="D10" i="24"/>
  <c r="D14" i="24"/>
  <c r="D16" i="24" s="1"/>
  <c r="D26" i="24"/>
  <c r="D28" i="24" s="1"/>
  <c r="D49" i="24" s="1"/>
  <c r="D20" i="24"/>
  <c r="D22" i="24" s="1"/>
  <c r="P28" i="4"/>
  <c r="C56" i="14"/>
  <c r="W56" i="14" s="1"/>
  <c r="AB7" i="13"/>
  <c r="AA8" i="13"/>
  <c r="K37" i="3"/>
  <c r="K38" i="3" s="1"/>
  <c r="K40" i="3" s="1"/>
  <c r="J15" i="13" s="1"/>
  <c r="B9" i="9"/>
  <c r="B9" i="10"/>
  <c r="B9" i="12"/>
  <c r="B9" i="11"/>
  <c r="R24" i="3"/>
  <c r="R25" i="3" s="1"/>
  <c r="R27" i="3" s="1"/>
  <c r="F24" i="11"/>
  <c r="B24" i="4"/>
  <c r="AC7" i="12"/>
  <c r="E23" i="14"/>
  <c r="E24" i="4" s="1"/>
  <c r="E16" i="14"/>
  <c r="C22" i="13"/>
  <c r="G37" i="3"/>
  <c r="G38" i="3" s="1"/>
  <c r="G40" i="3" s="1"/>
  <c r="F15" i="13" s="1"/>
  <c r="Q24" i="3"/>
  <c r="Q25" i="3" s="1"/>
  <c r="Q27" i="3" s="1"/>
  <c r="B18" i="13"/>
  <c r="W9" i="13"/>
  <c r="W24" i="13"/>
  <c r="AA7" i="13"/>
  <c r="AA9" i="13" s="1"/>
  <c r="C18" i="13"/>
  <c r="D9" i="10"/>
  <c r="D9" i="9"/>
  <c r="D9" i="12"/>
  <c r="W55" i="11"/>
  <c r="D56" i="11"/>
  <c r="F28" i="4"/>
  <c r="AC7" i="11"/>
  <c r="AC9" i="11" s="1"/>
  <c r="D25" i="4"/>
  <c r="W56" i="12"/>
  <c r="Z7" i="13"/>
  <c r="C9" i="9"/>
  <c r="C9" i="10"/>
  <c r="C9" i="12"/>
  <c r="W27" i="12"/>
  <c r="J75" i="22"/>
  <c r="B68" i="22"/>
  <c r="B67" i="22"/>
  <c r="AD8" i="11"/>
  <c r="E24" i="12"/>
  <c r="F24" i="12" s="1"/>
  <c r="G24" i="12" s="1"/>
  <c r="H24" i="12" s="1"/>
  <c r="I24" i="12" s="1"/>
  <c r="J24" i="12" s="1"/>
  <c r="K24" i="12" s="1"/>
  <c r="L24" i="12" s="1"/>
  <c r="M24" i="12" s="1"/>
  <c r="N24" i="12" s="1"/>
  <c r="O24" i="12" s="1"/>
  <c r="P24" i="12" s="1"/>
  <c r="Q24" i="12" s="1"/>
  <c r="R24" i="12" s="1"/>
  <c r="S24" i="12" s="1"/>
  <c r="T24" i="12" s="1"/>
  <c r="U24" i="12" s="1"/>
  <c r="W24" i="12"/>
  <c r="O76" i="11"/>
  <c r="F76" i="11"/>
  <c r="U28" i="4"/>
  <c r="M28" i="4"/>
  <c r="E28" i="4"/>
  <c r="C25" i="4"/>
  <c r="G5" i="11"/>
  <c r="F16" i="11"/>
  <c r="AD7" i="11" s="1"/>
  <c r="AD9" i="11" s="1"/>
  <c r="C12" i="5"/>
  <c r="B11" i="4"/>
  <c r="C77" i="9"/>
  <c r="K77" i="9"/>
  <c r="S77" i="9"/>
  <c r="F77" i="9"/>
  <c r="N77" i="9"/>
  <c r="H77" i="9"/>
  <c r="R77" i="9"/>
  <c r="J77" i="9"/>
  <c r="U77" i="9"/>
  <c r="B77" i="9"/>
  <c r="M77" i="9"/>
  <c r="D77" i="9"/>
  <c r="T77" i="9"/>
  <c r="G77" i="9"/>
  <c r="L77" i="9"/>
  <c r="E77" i="9"/>
  <c r="B76" i="10"/>
  <c r="J76" i="10"/>
  <c r="R76" i="10"/>
  <c r="O77" i="9"/>
  <c r="D76" i="10"/>
  <c r="L76" i="10"/>
  <c r="T76" i="10"/>
  <c r="Q77" i="9"/>
  <c r="F76" i="10"/>
  <c r="N76" i="10"/>
  <c r="I77" i="9"/>
  <c r="H76" i="10"/>
  <c r="U76" i="10"/>
  <c r="M76" i="10"/>
  <c r="P77" i="9"/>
  <c r="C76" i="10"/>
  <c r="S76" i="10"/>
  <c r="G76" i="10"/>
  <c r="K76" i="10"/>
  <c r="I76" i="10"/>
  <c r="B29" i="5"/>
  <c r="B32" i="5" s="1"/>
  <c r="P76" i="10"/>
  <c r="Q76" i="10"/>
  <c r="O76" i="10"/>
  <c r="I77" i="12"/>
  <c r="Q77" i="12"/>
  <c r="C77" i="12"/>
  <c r="K77" i="12"/>
  <c r="S77" i="12"/>
  <c r="E77" i="12"/>
  <c r="M77" i="12"/>
  <c r="U77" i="12"/>
  <c r="E76" i="10"/>
  <c r="N77" i="12"/>
  <c r="D77" i="12"/>
  <c r="P77" i="12"/>
  <c r="F77" i="12"/>
  <c r="R77" i="12"/>
  <c r="H76" i="11"/>
  <c r="P76" i="11"/>
  <c r="T77" i="12"/>
  <c r="O77" i="12"/>
  <c r="N76" i="11"/>
  <c r="E76" i="11"/>
  <c r="W56" i="11"/>
  <c r="B25" i="4"/>
  <c r="Z7" i="11"/>
  <c r="AC8" i="11"/>
  <c r="H77" i="12"/>
  <c r="D25" i="12"/>
  <c r="E25" i="12" s="1"/>
  <c r="F25" i="12" s="1"/>
  <c r="G25" i="12" s="1"/>
  <c r="H25" i="12" s="1"/>
  <c r="I25" i="12" s="1"/>
  <c r="J25" i="12" s="1"/>
  <c r="K25" i="12" s="1"/>
  <c r="L25" i="12" s="1"/>
  <c r="M25" i="12" s="1"/>
  <c r="N25" i="12" s="1"/>
  <c r="O25" i="12" s="1"/>
  <c r="P25" i="12" s="1"/>
  <c r="Q25" i="12" s="1"/>
  <c r="R25" i="12" s="1"/>
  <c r="S25" i="12" s="1"/>
  <c r="T25" i="12" s="1"/>
  <c r="U25" i="12" s="1"/>
  <c r="M76" i="11"/>
  <c r="D76" i="11"/>
  <c r="K28" i="4"/>
  <c r="C26" i="4"/>
  <c r="G77" i="12"/>
  <c r="E23" i="12"/>
  <c r="F5" i="12"/>
  <c r="C23" i="11"/>
  <c r="R105" i="22"/>
  <c r="C11" i="4"/>
  <c r="C22" i="12"/>
  <c r="B28" i="12"/>
  <c r="Z9" i="12"/>
  <c r="F5" i="20"/>
  <c r="E68" i="20"/>
  <c r="E80" i="20"/>
  <c r="D105" i="22"/>
  <c r="L105" i="22"/>
  <c r="T105" i="22"/>
  <c r="H106" i="22"/>
  <c r="P106" i="22"/>
  <c r="F105" i="22"/>
  <c r="N105" i="22"/>
  <c r="B106" i="22"/>
  <c r="J106" i="22"/>
  <c r="R106" i="22"/>
  <c r="C105" i="22"/>
  <c r="O105" i="22"/>
  <c r="E106" i="22"/>
  <c r="O106" i="22"/>
  <c r="G105" i="22"/>
  <c r="Q105" i="22"/>
  <c r="G106" i="22"/>
  <c r="S106" i="22"/>
  <c r="I105" i="22"/>
  <c r="S105" i="22"/>
  <c r="K106" i="22"/>
  <c r="U106" i="22"/>
  <c r="J105" i="22"/>
  <c r="F106" i="22"/>
  <c r="M105" i="22"/>
  <c r="L106" i="22"/>
  <c r="P105" i="22"/>
  <c r="M106" i="22"/>
  <c r="D106" i="22"/>
  <c r="B105" i="22"/>
  <c r="I106" i="22"/>
  <c r="H105" i="22"/>
  <c r="Q106" i="22"/>
  <c r="C28" i="10"/>
  <c r="D22" i="10"/>
  <c r="R75" i="22"/>
  <c r="G14" i="5"/>
  <c r="G25" i="10"/>
  <c r="W10" i="11"/>
  <c r="D23" i="12"/>
  <c r="AB8" i="12" s="1"/>
  <c r="W10" i="12"/>
  <c r="G86" i="20"/>
  <c r="G92" i="20"/>
  <c r="G98" i="20"/>
  <c r="Q26" i="22"/>
  <c r="C19" i="22"/>
  <c r="C75" i="22" s="1"/>
  <c r="D10" i="10"/>
  <c r="Z8" i="12"/>
  <c r="AB7" i="12"/>
  <c r="D19" i="22"/>
  <c r="L19" i="22"/>
  <c r="T19" i="22"/>
  <c r="T75" i="22" s="1"/>
  <c r="D26" i="22"/>
  <c r="D75" i="22" s="1"/>
  <c r="L26" i="22"/>
  <c r="L75" i="22" s="1"/>
  <c r="T26" i="22"/>
  <c r="E19" i="22"/>
  <c r="N19" i="22"/>
  <c r="G26" i="22"/>
  <c r="P26" i="22"/>
  <c r="P75" i="22" s="1"/>
  <c r="G19" i="22"/>
  <c r="P19" i="22"/>
  <c r="I26" i="22"/>
  <c r="R26" i="22"/>
  <c r="B17" i="22"/>
  <c r="I19" i="22"/>
  <c r="R19" i="22"/>
  <c r="B26" i="22"/>
  <c r="B75" i="22" s="1"/>
  <c r="K26" i="22"/>
  <c r="K75" i="22" s="1"/>
  <c r="U26" i="22"/>
  <c r="U75" i="22" s="1"/>
  <c r="H19" i="22"/>
  <c r="H75" i="22" s="1"/>
  <c r="O26" i="22"/>
  <c r="K19" i="22"/>
  <c r="E26" i="22"/>
  <c r="E75" i="22" s="1"/>
  <c r="S26" i="22"/>
  <c r="M19" i="22"/>
  <c r="M75" i="22" s="1"/>
  <c r="J26" i="22"/>
  <c r="Q19" i="22"/>
  <c r="N26" i="22"/>
  <c r="N75" i="22" s="1"/>
  <c r="B19" i="22"/>
  <c r="U19" i="22"/>
  <c r="E100" i="22"/>
  <c r="B41" i="22"/>
  <c r="B44" i="22" s="1"/>
  <c r="B40" i="22"/>
  <c r="W27" i="10"/>
  <c r="X28" i="4" s="1"/>
  <c r="U55" i="9"/>
  <c r="W55" i="9" s="1"/>
  <c r="U56" i="9"/>
  <c r="C56" i="9"/>
  <c r="W55" i="10"/>
  <c r="AA8" i="10"/>
  <c r="G59" i="22"/>
  <c r="O59" i="22"/>
  <c r="G66" i="22"/>
  <c r="O66" i="22"/>
  <c r="I59" i="22"/>
  <c r="Q59" i="22"/>
  <c r="I66" i="22"/>
  <c r="Q66" i="22"/>
  <c r="Q75" i="22" s="1"/>
  <c r="S46" i="22"/>
  <c r="S75" i="22" s="1"/>
  <c r="J46" i="22"/>
  <c r="Q39" i="22"/>
  <c r="E16" i="10"/>
  <c r="B11" i="10"/>
  <c r="G39" i="22"/>
  <c r="O39" i="22"/>
  <c r="W34" i="22" s="1"/>
  <c r="X34" i="22" s="1"/>
  <c r="G46" i="22"/>
  <c r="O46" i="22"/>
  <c r="Z7" i="10"/>
  <c r="B28" i="10"/>
  <c r="W27" i="9"/>
  <c r="F5" i="9"/>
  <c r="E23" i="9"/>
  <c r="AC8" i="9" s="1"/>
  <c r="C23" i="9"/>
  <c r="B28" i="9"/>
  <c r="C22" i="9"/>
  <c r="Z8" i="9"/>
  <c r="E16" i="9"/>
  <c r="B11" i="9"/>
  <c r="W10" i="9"/>
  <c r="W25" i="9"/>
  <c r="N14" i="5" l="1"/>
  <c r="C14" i="5"/>
  <c r="Q14" i="5"/>
  <c r="X13" i="5"/>
  <c r="F14" i="5"/>
  <c r="O14" i="5"/>
  <c r="I14" i="5"/>
  <c r="V14" i="5"/>
  <c r="E14" i="5"/>
  <c r="L14" i="5"/>
  <c r="U14" i="5"/>
  <c r="D13" i="5"/>
  <c r="W13" i="5" s="1"/>
  <c r="Y13" i="5" s="1"/>
  <c r="W12" i="5"/>
  <c r="Z9" i="13"/>
  <c r="H15" i="9"/>
  <c r="H15" i="10"/>
  <c r="H15" i="12"/>
  <c r="H15" i="11"/>
  <c r="E26" i="24"/>
  <c r="E28" i="24" s="1"/>
  <c r="E49" i="24" s="1"/>
  <c r="E14" i="24"/>
  <c r="E16" i="24" s="1"/>
  <c r="E20" i="24"/>
  <c r="E22" i="24" s="1"/>
  <c r="E10" i="24"/>
  <c r="E45" i="24" s="1"/>
  <c r="D11" i="4"/>
  <c r="B111" i="22"/>
  <c r="O99" i="22" s="1"/>
  <c r="D23" i="2" s="1"/>
  <c r="B110" i="22"/>
  <c r="J99" i="22" s="1"/>
  <c r="C23" i="2" s="1"/>
  <c r="D26" i="4"/>
  <c r="B18" i="12"/>
  <c r="W9" i="12"/>
  <c r="C28" i="14"/>
  <c r="O16" i="4"/>
  <c r="AC7" i="10"/>
  <c r="AC9" i="10" s="1"/>
  <c r="E17" i="4"/>
  <c r="G16" i="11"/>
  <c r="AE7" i="11" s="1"/>
  <c r="G23" i="11"/>
  <c r="AE8" i="11" s="1"/>
  <c r="H5" i="11"/>
  <c r="N15" i="9"/>
  <c r="N15" i="10"/>
  <c r="N15" i="12"/>
  <c r="N15" i="11"/>
  <c r="B48" i="22"/>
  <c r="C32" i="22" s="1"/>
  <c r="B47" i="22"/>
  <c r="D14" i="5"/>
  <c r="E22" i="10"/>
  <c r="D28" i="10"/>
  <c r="G5" i="20"/>
  <c r="F80" i="20"/>
  <c r="F68" i="20"/>
  <c r="F74" i="20"/>
  <c r="E26" i="4"/>
  <c r="W77" i="9"/>
  <c r="C28" i="13"/>
  <c r="D22" i="13"/>
  <c r="B18" i="9"/>
  <c r="W9" i="9"/>
  <c r="B29" i="24"/>
  <c r="C29" i="24" s="1"/>
  <c r="B54" i="24"/>
  <c r="B35" i="24"/>
  <c r="C35" i="24" s="1"/>
  <c r="B50" i="24"/>
  <c r="B17" i="24"/>
  <c r="B23" i="24"/>
  <c r="B46" i="24"/>
  <c r="B11" i="24"/>
  <c r="B41" i="24"/>
  <c r="C41" i="24" s="1"/>
  <c r="E18" i="14"/>
  <c r="E19" i="14" s="1"/>
  <c r="E31" i="14" s="1"/>
  <c r="W15" i="14"/>
  <c r="W15" i="13"/>
  <c r="AA8" i="9"/>
  <c r="D23" i="9"/>
  <c r="O75" i="22"/>
  <c r="W56" i="9"/>
  <c r="C24" i="4"/>
  <c r="AA6" i="4" s="1"/>
  <c r="AA8" i="11"/>
  <c r="AA9" i="11" s="1"/>
  <c r="D23" i="11"/>
  <c r="W77" i="12"/>
  <c r="AC7" i="14"/>
  <c r="Z6" i="4"/>
  <c r="D45" i="24"/>
  <c r="I15" i="10"/>
  <c r="I15" i="9"/>
  <c r="I15" i="12"/>
  <c r="I15" i="11"/>
  <c r="C18" i="14"/>
  <c r="F22" i="11"/>
  <c r="E28" i="11"/>
  <c r="F16" i="4"/>
  <c r="C11" i="9"/>
  <c r="D22" i="9"/>
  <c r="C28" i="9"/>
  <c r="R14" i="5"/>
  <c r="C52" i="22"/>
  <c r="G25" i="14"/>
  <c r="H25" i="14" s="1"/>
  <c r="I25" i="14" s="1"/>
  <c r="J25" i="14" s="1"/>
  <c r="K25" i="14" s="1"/>
  <c r="L25" i="14" s="1"/>
  <c r="M25" i="14" s="1"/>
  <c r="N25" i="14" s="1"/>
  <c r="O25" i="14" s="1"/>
  <c r="P25" i="14" s="1"/>
  <c r="Q25" i="14" s="1"/>
  <c r="R25" i="14" s="1"/>
  <c r="S25" i="14" s="1"/>
  <c r="T25" i="14" s="1"/>
  <c r="U25" i="14" s="1"/>
  <c r="F28" i="14"/>
  <c r="F14" i="24"/>
  <c r="F16" i="24" s="1"/>
  <c r="F10" i="24"/>
  <c r="F26" i="24"/>
  <c r="F28" i="24" s="1"/>
  <c r="F49" i="24" s="1"/>
  <c r="F20" i="24"/>
  <c r="F22" i="24" s="1"/>
  <c r="S14" i="5"/>
  <c r="Z9" i="10"/>
  <c r="C23" i="4"/>
  <c r="B18" i="10"/>
  <c r="W9" i="10"/>
  <c r="B10" i="4"/>
  <c r="D28" i="14"/>
  <c r="C11" i="10"/>
  <c r="B12" i="4"/>
  <c r="Z5" i="4" s="1"/>
  <c r="AC7" i="9"/>
  <c r="AC9" i="9" s="1"/>
  <c r="T14" i="5"/>
  <c r="G75" i="22"/>
  <c r="AB9" i="12"/>
  <c r="F26" i="4"/>
  <c r="G5" i="12"/>
  <c r="F23" i="12"/>
  <c r="F16" i="12"/>
  <c r="W11" i="4"/>
  <c r="Y11" i="4" s="1"/>
  <c r="C18" i="12"/>
  <c r="E28" i="14"/>
  <c r="AC8" i="14"/>
  <c r="G24" i="11"/>
  <c r="F25" i="4"/>
  <c r="W28" i="4"/>
  <c r="Y28" i="4" s="1"/>
  <c r="Z7" i="9"/>
  <c r="G5" i="9"/>
  <c r="F16" i="9"/>
  <c r="AD7" i="9" s="1"/>
  <c r="F5" i="10"/>
  <c r="F23" i="9"/>
  <c r="AD8" i="9" s="1"/>
  <c r="B20" i="22"/>
  <c r="B21" i="22"/>
  <c r="B24" i="22" s="1"/>
  <c r="H25" i="10"/>
  <c r="AC8" i="12"/>
  <c r="W25" i="12"/>
  <c r="Z9" i="11"/>
  <c r="W27" i="4"/>
  <c r="Y27" i="4" s="1"/>
  <c r="C10" i="4"/>
  <c r="C18" i="11"/>
  <c r="D18" i="14"/>
  <c r="E25" i="4"/>
  <c r="AC6" i="4" s="1"/>
  <c r="AB9" i="13"/>
  <c r="G23" i="14"/>
  <c r="H5" i="14"/>
  <c r="G16" i="14"/>
  <c r="AE7" i="14" s="1"/>
  <c r="D53" i="24"/>
  <c r="U15" i="9"/>
  <c r="U15" i="10"/>
  <c r="U15" i="12"/>
  <c r="U15" i="11"/>
  <c r="T15" i="9"/>
  <c r="T15" i="10"/>
  <c r="T15" i="12"/>
  <c r="T15" i="11"/>
  <c r="S15" i="9"/>
  <c r="S15" i="10"/>
  <c r="S15" i="12"/>
  <c r="S15" i="11"/>
  <c r="AC7" i="13"/>
  <c r="AC9" i="13" s="1"/>
  <c r="G16" i="13"/>
  <c r="AE7" i="13" s="1"/>
  <c r="H5" i="13"/>
  <c r="G23" i="13"/>
  <c r="W25" i="13"/>
  <c r="W25" i="11"/>
  <c r="M14" i="5"/>
  <c r="C28" i="12"/>
  <c r="D22" i="12"/>
  <c r="W9" i="11"/>
  <c r="B18" i="11"/>
  <c r="E15" i="9"/>
  <c r="E15" i="10"/>
  <c r="E15" i="12"/>
  <c r="E15" i="11"/>
  <c r="W54" i="22"/>
  <c r="X54" i="22" s="1"/>
  <c r="I75" i="22"/>
  <c r="K14" i="5"/>
  <c r="P15" i="9"/>
  <c r="P15" i="10"/>
  <c r="P15" i="12"/>
  <c r="P15" i="11"/>
  <c r="R15" i="9"/>
  <c r="R15" i="10"/>
  <c r="R15" i="12"/>
  <c r="R15" i="11"/>
  <c r="F18" i="14"/>
  <c r="F19" i="14"/>
  <c r="F31" i="14" s="1"/>
  <c r="G16" i="4"/>
  <c r="K22" i="14"/>
  <c r="W14" i="22"/>
  <c r="X14" i="22" s="1"/>
  <c r="W10" i="10"/>
  <c r="X11" i="4" s="1"/>
  <c r="B109" i="22"/>
  <c r="E99" i="22" s="1"/>
  <c r="B23" i="2" s="1"/>
  <c r="X12" i="5"/>
  <c r="D10" i="4"/>
  <c r="AC9" i="12"/>
  <c r="Q15" i="10"/>
  <c r="Q15" i="9"/>
  <c r="Q15" i="12"/>
  <c r="Q15" i="11"/>
  <c r="J6" i="20"/>
  <c r="I86" i="20"/>
  <c r="I92" i="20"/>
  <c r="I98" i="20"/>
  <c r="Z9" i="14"/>
  <c r="J15" i="9"/>
  <c r="J15" i="10"/>
  <c r="J15" i="12"/>
  <c r="J15" i="11"/>
  <c r="M15" i="9"/>
  <c r="M15" i="10"/>
  <c r="M15" i="12"/>
  <c r="M15" i="11"/>
  <c r="L15" i="9"/>
  <c r="L15" i="11"/>
  <c r="L15" i="12"/>
  <c r="L15" i="10"/>
  <c r="K15" i="9"/>
  <c r="K15" i="10"/>
  <c r="K15" i="12"/>
  <c r="K15" i="11"/>
  <c r="B29" i="4"/>
  <c r="E54" i="14" l="1"/>
  <c r="W11" i="9"/>
  <c r="Q16" i="4"/>
  <c r="G16" i="12"/>
  <c r="H5" i="12"/>
  <c r="G23" i="12"/>
  <c r="AE8" i="12" s="1"/>
  <c r="G22" i="11"/>
  <c r="F28" i="11"/>
  <c r="E18" i="10"/>
  <c r="W15" i="10"/>
  <c r="E19" i="10"/>
  <c r="E16" i="4"/>
  <c r="AE8" i="13"/>
  <c r="AE9" i="13" s="1"/>
  <c r="S16" i="4"/>
  <c r="D18" i="12"/>
  <c r="D11" i="10"/>
  <c r="C12" i="4"/>
  <c r="AA5" i="4" s="1"/>
  <c r="AA7" i="10"/>
  <c r="B12" i="14"/>
  <c r="C12" i="14"/>
  <c r="C19" i="14" s="1"/>
  <c r="C31" i="14" s="1"/>
  <c r="D12" i="14"/>
  <c r="D19" i="14" s="1"/>
  <c r="D31" i="14" s="1"/>
  <c r="H23" i="11"/>
  <c r="I5" i="11"/>
  <c r="H16" i="11"/>
  <c r="AF7" i="11" s="1"/>
  <c r="J16" i="4"/>
  <c r="F23" i="10"/>
  <c r="F16" i="10"/>
  <c r="W11" i="10"/>
  <c r="X12" i="4" s="1"/>
  <c r="C29" i="4"/>
  <c r="C11" i="24"/>
  <c r="AC5" i="4"/>
  <c r="J92" i="20"/>
  <c r="J98" i="20"/>
  <c r="K6" i="20"/>
  <c r="J86" i="20"/>
  <c r="F54" i="14"/>
  <c r="P16" i="4"/>
  <c r="J14" i="5"/>
  <c r="AD9" i="9"/>
  <c r="H14" i="5"/>
  <c r="X10" i="4"/>
  <c r="F45" i="24"/>
  <c r="C46" i="24" s="1"/>
  <c r="I16" i="4"/>
  <c r="F53" i="24"/>
  <c r="AE9" i="11"/>
  <c r="X14" i="5"/>
  <c r="K16" i="4"/>
  <c r="M16" i="4"/>
  <c r="H5" i="9"/>
  <c r="G16" i="9"/>
  <c r="G23" i="9"/>
  <c r="AE8" i="9" s="1"/>
  <c r="G5" i="10"/>
  <c r="B19" i="4"/>
  <c r="G18" i="14"/>
  <c r="G19" i="14" s="1"/>
  <c r="G31" i="14" s="1"/>
  <c r="AC9" i="14"/>
  <c r="P14" i="5"/>
  <c r="C23" i="24"/>
  <c r="C33" i="22"/>
  <c r="C34" i="22"/>
  <c r="C37" i="22" s="1"/>
  <c r="L22" i="14"/>
  <c r="T16" i="4"/>
  <c r="H23" i="14"/>
  <c r="H16" i="14"/>
  <c r="I5" i="14"/>
  <c r="G26" i="4"/>
  <c r="Z9" i="9"/>
  <c r="AB8" i="9"/>
  <c r="C17" i="24"/>
  <c r="E22" i="13"/>
  <c r="D28" i="13"/>
  <c r="D18" i="13"/>
  <c r="G68" i="20"/>
  <c r="G74" i="20"/>
  <c r="G80" i="20"/>
  <c r="H5" i="20"/>
  <c r="F18" i="11"/>
  <c r="F19" i="11" s="1"/>
  <c r="N16" i="4"/>
  <c r="W14" i="5"/>
  <c r="W15" i="12"/>
  <c r="C53" i="22"/>
  <c r="C54" i="22"/>
  <c r="C57" i="22" s="1"/>
  <c r="F22" i="10"/>
  <c r="E28" i="10"/>
  <c r="D28" i="12"/>
  <c r="E22" i="12"/>
  <c r="E18" i="12" s="1"/>
  <c r="U16" i="4"/>
  <c r="E22" i="9"/>
  <c r="D28" i="9"/>
  <c r="B12" i="12"/>
  <c r="D12" i="12"/>
  <c r="D19" i="12" s="1"/>
  <c r="D31" i="12" s="1"/>
  <c r="C12" i="12"/>
  <c r="C19" i="12" s="1"/>
  <c r="C31" i="12" s="1"/>
  <c r="W15" i="9"/>
  <c r="E18" i="9"/>
  <c r="E19" i="9" s="1"/>
  <c r="H16" i="13"/>
  <c r="I5" i="13"/>
  <c r="H23" i="13"/>
  <c r="AF8" i="13" s="1"/>
  <c r="W10" i="4"/>
  <c r="D11" i="9"/>
  <c r="AA7" i="9"/>
  <c r="AA9" i="9" s="1"/>
  <c r="E53" i="24"/>
  <c r="C54" i="24" s="1"/>
  <c r="L16" i="4"/>
  <c r="C18" i="9"/>
  <c r="I25" i="10"/>
  <c r="H26" i="4"/>
  <c r="H24" i="11"/>
  <c r="G25" i="4"/>
  <c r="AD7" i="12"/>
  <c r="D24" i="4"/>
  <c r="AB8" i="11"/>
  <c r="AB9" i="11" s="1"/>
  <c r="D18" i="11"/>
  <c r="D28" i="11"/>
  <c r="C50" i="24"/>
  <c r="D23" i="4"/>
  <c r="D29" i="4" s="1"/>
  <c r="G28" i="14"/>
  <c r="AE8" i="14"/>
  <c r="AE9" i="14" s="1"/>
  <c r="R16" i="4"/>
  <c r="E18" i="11"/>
  <c r="E19" i="11" s="1"/>
  <c r="E31" i="11" s="1"/>
  <c r="W15" i="11"/>
  <c r="W25" i="14"/>
  <c r="C18" i="10"/>
  <c r="B27" i="22"/>
  <c r="B91" i="22" s="1"/>
  <c r="B38" i="4" s="1"/>
  <c r="B28" i="22"/>
  <c r="AD8" i="12"/>
  <c r="B12" i="13"/>
  <c r="C12" i="13"/>
  <c r="C19" i="13" s="1"/>
  <c r="D12" i="13"/>
  <c r="D19" i="13" s="1"/>
  <c r="H16" i="4"/>
  <c r="Y12" i="5"/>
  <c r="G54" i="14" l="1"/>
  <c r="E54" i="11"/>
  <c r="E31" i="9"/>
  <c r="E19" i="12"/>
  <c r="C12" i="2"/>
  <c r="G12" i="2"/>
  <c r="B37" i="10"/>
  <c r="B37" i="9"/>
  <c r="B37" i="12"/>
  <c r="B37" i="14"/>
  <c r="B37" i="11"/>
  <c r="B37" i="13"/>
  <c r="D31" i="13"/>
  <c r="D81" i="13"/>
  <c r="D83" i="13" s="1"/>
  <c r="W12" i="12"/>
  <c r="B19" i="12"/>
  <c r="Y14" i="5"/>
  <c r="J5" i="14"/>
  <c r="I23" i="14"/>
  <c r="I16" i="14"/>
  <c r="AD7" i="10"/>
  <c r="AD9" i="10" s="1"/>
  <c r="F17" i="4"/>
  <c r="F18" i="10"/>
  <c r="F19" i="10"/>
  <c r="G28" i="11"/>
  <c r="H22" i="11"/>
  <c r="G18" i="11"/>
  <c r="G19" i="11" s="1"/>
  <c r="G31" i="11" s="1"/>
  <c r="AF7" i="14"/>
  <c r="H18" i="14"/>
  <c r="H19" i="14" s="1"/>
  <c r="H31" i="14" s="1"/>
  <c r="AD8" i="10"/>
  <c r="F24" i="4"/>
  <c r="AD6" i="4" s="1"/>
  <c r="J5" i="11"/>
  <c r="I23" i="11"/>
  <c r="I16" i="11"/>
  <c r="D12" i="4"/>
  <c r="AB7" i="10"/>
  <c r="AB9" i="10" s="1"/>
  <c r="D18" i="10"/>
  <c r="AF8" i="14"/>
  <c r="H28" i="14"/>
  <c r="AD9" i="12"/>
  <c r="D54" i="12"/>
  <c r="B12" i="11"/>
  <c r="C12" i="11"/>
  <c r="C19" i="11" s="1"/>
  <c r="C31" i="11" s="1"/>
  <c r="D12" i="11"/>
  <c r="D19" i="11" s="1"/>
  <c r="D31" i="11" s="1"/>
  <c r="AA9" i="10"/>
  <c r="I16" i="13"/>
  <c r="J5" i="13"/>
  <c r="I23" i="13"/>
  <c r="AG8" i="13" s="1"/>
  <c r="F22" i="13"/>
  <c r="E28" i="13"/>
  <c r="E18" i="13"/>
  <c r="E19" i="13" s="1"/>
  <c r="C81" i="13"/>
  <c r="C83" i="13" s="1"/>
  <c r="C31" i="13"/>
  <c r="I24" i="11"/>
  <c r="H25" i="4"/>
  <c r="B12" i="10"/>
  <c r="C12" i="10"/>
  <c r="D12" i="10"/>
  <c r="D13" i="4" s="1"/>
  <c r="M22" i="14"/>
  <c r="W12" i="13"/>
  <c r="B19" i="13"/>
  <c r="G22" i="10"/>
  <c r="F28" i="10"/>
  <c r="H18" i="11"/>
  <c r="H19" i="11" s="1"/>
  <c r="I5" i="20"/>
  <c r="H74" i="20"/>
  <c r="H80" i="20"/>
  <c r="H68" i="20"/>
  <c r="AE7" i="9"/>
  <c r="AE9" i="9" s="1"/>
  <c r="L6" i="20"/>
  <c r="K86" i="20"/>
  <c r="K92" i="20"/>
  <c r="K98" i="20"/>
  <c r="AF8" i="11"/>
  <c r="AF9" i="11" s="1"/>
  <c r="X16" i="4"/>
  <c r="I5" i="12"/>
  <c r="H23" i="12"/>
  <c r="AF8" i="12" s="1"/>
  <c r="H16" i="12"/>
  <c r="H23" i="9"/>
  <c r="AF8" i="9" s="1"/>
  <c r="I5" i="9"/>
  <c r="H5" i="10"/>
  <c r="H16" i="9"/>
  <c r="D54" i="14"/>
  <c r="AE7" i="12"/>
  <c r="AE9" i="12" s="1"/>
  <c r="J25" i="10"/>
  <c r="I26" i="4"/>
  <c r="AB7" i="9"/>
  <c r="AB9" i="9" s="1"/>
  <c r="D18" i="9"/>
  <c r="D19" i="9"/>
  <c r="D31" i="9" s="1"/>
  <c r="E28" i="9"/>
  <c r="F22" i="9"/>
  <c r="C54" i="14"/>
  <c r="B76" i="22"/>
  <c r="AB6" i="4"/>
  <c r="Y10" i="4"/>
  <c r="C60" i="22"/>
  <c r="C61" i="22"/>
  <c r="C64" i="22" s="1"/>
  <c r="C40" i="22"/>
  <c r="C41" i="22"/>
  <c r="C44" i="22" s="1"/>
  <c r="C12" i="9"/>
  <c r="C19" i="9" s="1"/>
  <c r="C31" i="9" s="1"/>
  <c r="B12" i="9"/>
  <c r="D12" i="9"/>
  <c r="W12" i="14"/>
  <c r="B19" i="14"/>
  <c r="C12" i="22"/>
  <c r="B73" i="22"/>
  <c r="E28" i="12"/>
  <c r="F22" i="12"/>
  <c r="G23" i="10"/>
  <c r="G16" i="10"/>
  <c r="W16" i="4"/>
  <c r="Y16" i="4" s="1"/>
  <c r="AF7" i="13"/>
  <c r="E23" i="4"/>
  <c r="E29" i="4" s="1"/>
  <c r="F31" i="11"/>
  <c r="E31" i="10"/>
  <c r="C19" i="4"/>
  <c r="C54" i="12"/>
  <c r="H31" i="11" l="1"/>
  <c r="H54" i="14"/>
  <c r="B31" i="14"/>
  <c r="D54" i="9"/>
  <c r="N22" i="14"/>
  <c r="E31" i="12"/>
  <c r="C67" i="22"/>
  <c r="C68" i="22"/>
  <c r="H22" i="10"/>
  <c r="G28" i="10"/>
  <c r="W12" i="11"/>
  <c r="B19" i="11"/>
  <c r="AG7" i="14"/>
  <c r="I18" i="14"/>
  <c r="I19" i="14" s="1"/>
  <c r="D54" i="13"/>
  <c r="E54" i="9"/>
  <c r="E19" i="4"/>
  <c r="E20" i="4" s="1"/>
  <c r="E32" i="4" s="1"/>
  <c r="F54" i="11"/>
  <c r="B81" i="13"/>
  <c r="B83" i="13" s="1"/>
  <c r="B31" i="13"/>
  <c r="C13" i="4"/>
  <c r="C20" i="4" s="1"/>
  <c r="C32" i="4" s="1"/>
  <c r="C19" i="10"/>
  <c r="C31" i="10" s="1"/>
  <c r="J23" i="13"/>
  <c r="K5" i="13"/>
  <c r="J16" i="13"/>
  <c r="D19" i="4"/>
  <c r="I22" i="11"/>
  <c r="H28" i="11"/>
  <c r="AG8" i="14"/>
  <c r="I28" i="14"/>
  <c r="AE8" i="10"/>
  <c r="G24" i="4"/>
  <c r="AG7" i="13"/>
  <c r="AG9" i="13" s="1"/>
  <c r="D19" i="10"/>
  <c r="D31" i="10" s="1"/>
  <c r="J16" i="14"/>
  <c r="K5" i="14"/>
  <c r="J23" i="14"/>
  <c r="J16" i="11"/>
  <c r="J23" i="11"/>
  <c r="K5" i="11"/>
  <c r="E54" i="10"/>
  <c r="C15" i="5"/>
  <c r="B77" i="22"/>
  <c r="G54" i="11"/>
  <c r="AE7" i="10"/>
  <c r="AE9" i="10" s="1"/>
  <c r="G17" i="4"/>
  <c r="G18" i="10"/>
  <c r="G22" i="12"/>
  <c r="F28" i="12"/>
  <c r="F18" i="12"/>
  <c r="W12" i="9"/>
  <c r="B19" i="9"/>
  <c r="K25" i="10"/>
  <c r="J26" i="4"/>
  <c r="AF7" i="12"/>
  <c r="W12" i="10"/>
  <c r="X13" i="4" s="1"/>
  <c r="B13" i="4"/>
  <c r="B19" i="10"/>
  <c r="C54" i="9"/>
  <c r="AF7" i="9"/>
  <c r="AF9" i="9" s="1"/>
  <c r="M6" i="20"/>
  <c r="L86" i="20"/>
  <c r="L92" i="20"/>
  <c r="L98" i="20"/>
  <c r="I68" i="20"/>
  <c r="I74" i="20"/>
  <c r="I80" i="20"/>
  <c r="J5" i="20"/>
  <c r="E31" i="13"/>
  <c r="E81" i="13"/>
  <c r="E83" i="13" s="1"/>
  <c r="W12" i="4"/>
  <c r="Y12" i="4" s="1"/>
  <c r="AB5" i="4"/>
  <c r="F31" i="10"/>
  <c r="B31" i="12"/>
  <c r="C14" i="2"/>
  <c r="B12" i="2" s="1"/>
  <c r="AF9" i="13"/>
  <c r="B78" i="10"/>
  <c r="B79" i="9"/>
  <c r="B79" i="12"/>
  <c r="B78" i="11"/>
  <c r="F28" i="9"/>
  <c r="G22" i="9"/>
  <c r="F18" i="9"/>
  <c r="F19" i="9" s="1"/>
  <c r="H23" i="10"/>
  <c r="H16" i="10"/>
  <c r="I16" i="12"/>
  <c r="J5" i="12"/>
  <c r="I23" i="12"/>
  <c r="J24" i="11"/>
  <c r="I25" i="4"/>
  <c r="D54" i="11"/>
  <c r="AG7" i="11"/>
  <c r="I18" i="11"/>
  <c r="I19" i="11" s="1"/>
  <c r="C13" i="22"/>
  <c r="C14" i="22"/>
  <c r="C17" i="22" s="1"/>
  <c r="C72" i="22"/>
  <c r="C47" i="22"/>
  <c r="C48" i="22"/>
  <c r="D32" i="22" s="1"/>
  <c r="J5" i="9"/>
  <c r="I23" i="9"/>
  <c r="AG8" i="9" s="1"/>
  <c r="I16" i="9"/>
  <c r="I5" i="10"/>
  <c r="F23" i="4"/>
  <c r="F29" i="4" s="1"/>
  <c r="C54" i="13"/>
  <c r="G22" i="13"/>
  <c r="F28" i="13"/>
  <c r="F18" i="13"/>
  <c r="C54" i="11"/>
  <c r="AG8" i="11"/>
  <c r="AF9" i="14"/>
  <c r="AD5" i="4"/>
  <c r="I31" i="14" l="1"/>
  <c r="I31" i="11"/>
  <c r="J22" i="11"/>
  <c r="I28" i="11"/>
  <c r="AF7" i="10"/>
  <c r="AF9" i="10" s="1"/>
  <c r="H17" i="4"/>
  <c r="H18" i="10"/>
  <c r="H19" i="10" s="1"/>
  <c r="H31" i="10" s="1"/>
  <c r="AH8" i="14"/>
  <c r="J28" i="14"/>
  <c r="F54" i="10"/>
  <c r="AH7" i="13"/>
  <c r="I23" i="10"/>
  <c r="I16" i="10"/>
  <c r="K23" i="11"/>
  <c r="K16" i="11"/>
  <c r="L5" i="11"/>
  <c r="D52" i="22"/>
  <c r="H54" i="11"/>
  <c r="B31" i="10"/>
  <c r="L25" i="10"/>
  <c r="K26" i="4"/>
  <c r="AH8" i="11"/>
  <c r="D54" i="10"/>
  <c r="AH8" i="13"/>
  <c r="F10" i="5"/>
  <c r="E8" i="22"/>
  <c r="E61" i="2"/>
  <c r="B31" i="11"/>
  <c r="AG7" i="12"/>
  <c r="K5" i="20"/>
  <c r="J68" i="20"/>
  <c r="J74" i="20"/>
  <c r="J80" i="20"/>
  <c r="F19" i="12"/>
  <c r="O22" i="14"/>
  <c r="AG9" i="11"/>
  <c r="AF9" i="12"/>
  <c r="H28" i="10"/>
  <c r="I22" i="10"/>
  <c r="C20" i="22"/>
  <c r="C21" i="22"/>
  <c r="C24" i="22" s="1"/>
  <c r="AF8" i="10"/>
  <c r="H24" i="4"/>
  <c r="AF6" i="4" s="1"/>
  <c r="G28" i="12"/>
  <c r="H22" i="12"/>
  <c r="G18" i="12"/>
  <c r="G19" i="12" s="1"/>
  <c r="K16" i="14"/>
  <c r="L5" i="14"/>
  <c r="K23" i="14"/>
  <c r="AE6" i="4"/>
  <c r="AH7" i="14"/>
  <c r="J18" i="14"/>
  <c r="J19" i="14" s="1"/>
  <c r="K23" i="13"/>
  <c r="AI8" i="13" s="1"/>
  <c r="L5" i="13"/>
  <c r="K16" i="13"/>
  <c r="AG9" i="14"/>
  <c r="B54" i="14"/>
  <c r="AG7" i="9"/>
  <c r="AG9" i="9" s="1"/>
  <c r="F31" i="9"/>
  <c r="F19" i="13"/>
  <c r="J25" i="4"/>
  <c r="K24" i="11"/>
  <c r="H22" i="9"/>
  <c r="G28" i="9"/>
  <c r="G18" i="9"/>
  <c r="G19" i="9" s="1"/>
  <c r="D20" i="4"/>
  <c r="D32" i="4" s="1"/>
  <c r="W13" i="4"/>
  <c r="Y13" i="4" s="1"/>
  <c r="B20" i="4"/>
  <c r="B31" i="9"/>
  <c r="B57" i="10"/>
  <c r="B57" i="9"/>
  <c r="B57" i="12"/>
  <c r="B57" i="11"/>
  <c r="B57" i="14"/>
  <c r="B57" i="13"/>
  <c r="AH7" i="11"/>
  <c r="AH9" i="11" s="1"/>
  <c r="C54" i="10"/>
  <c r="E54" i="12"/>
  <c r="B54" i="12"/>
  <c r="AE5" i="4"/>
  <c r="J16" i="9"/>
  <c r="J23" i="9"/>
  <c r="K5" i="9"/>
  <c r="J5" i="10"/>
  <c r="F19" i="4"/>
  <c r="F20" i="4" s="1"/>
  <c r="F32" i="4" s="1"/>
  <c r="AG8" i="12"/>
  <c r="B14" i="2"/>
  <c r="G9" i="2"/>
  <c r="G8" i="2"/>
  <c r="B8" i="2"/>
  <c r="B10" i="2" s="1"/>
  <c r="B9" i="2"/>
  <c r="D10" i="5"/>
  <c r="C8" i="22"/>
  <c r="C61" i="2"/>
  <c r="H22" i="13"/>
  <c r="G28" i="13"/>
  <c r="G18" i="13"/>
  <c r="G19" i="13" s="1"/>
  <c r="D34" i="22"/>
  <c r="D37" i="22" s="1"/>
  <c r="D33" i="22"/>
  <c r="J23" i="12"/>
  <c r="AH8" i="12" s="1"/>
  <c r="K5" i="12"/>
  <c r="J16" i="12"/>
  <c r="E54" i="13"/>
  <c r="N6" i="20"/>
  <c r="M86" i="20"/>
  <c r="M92" i="20"/>
  <c r="M98" i="20"/>
  <c r="G19" i="10"/>
  <c r="G31" i="10" s="1"/>
  <c r="B54" i="13"/>
  <c r="G23" i="4"/>
  <c r="G29" i="4" s="1"/>
  <c r="H54" i="10" l="1"/>
  <c r="J31" i="14"/>
  <c r="F8" i="22"/>
  <c r="G10" i="5"/>
  <c r="F61" i="2"/>
  <c r="B54" i="9"/>
  <c r="J22" i="10"/>
  <c r="I28" i="10"/>
  <c r="I23" i="4"/>
  <c r="I29" i="4" s="1"/>
  <c r="AG8" i="10"/>
  <c r="I24" i="4"/>
  <c r="B97" i="20"/>
  <c r="B67" i="20"/>
  <c r="B79" i="20"/>
  <c r="B91" i="20"/>
  <c r="B85" i="20"/>
  <c r="B73" i="20"/>
  <c r="B40" i="2"/>
  <c r="B43" i="2"/>
  <c r="G10" i="2"/>
  <c r="G14" i="2" s="1"/>
  <c r="F12" i="2" s="1"/>
  <c r="B52" i="20"/>
  <c r="B36" i="20"/>
  <c r="B44" i="20"/>
  <c r="B28" i="20"/>
  <c r="B20" i="20"/>
  <c r="B12" i="20"/>
  <c r="B59" i="13"/>
  <c r="O6" i="20"/>
  <c r="N98" i="20"/>
  <c r="N86" i="20"/>
  <c r="N92" i="20"/>
  <c r="C40" i="2"/>
  <c r="F9" i="2"/>
  <c r="C43" i="2"/>
  <c r="B32" i="4"/>
  <c r="I54" i="11"/>
  <c r="I22" i="13"/>
  <c r="H28" i="13"/>
  <c r="H18" i="13"/>
  <c r="H19" i="13" s="1"/>
  <c r="E10" i="5"/>
  <c r="D8" i="22"/>
  <c r="D61" i="2"/>
  <c r="F54" i="9"/>
  <c r="AI8" i="14"/>
  <c r="K28" i="14"/>
  <c r="F31" i="12"/>
  <c r="AG9" i="12"/>
  <c r="M25" i="10"/>
  <c r="L26" i="4"/>
  <c r="L23" i="11"/>
  <c r="AJ8" i="11" s="1"/>
  <c r="L16" i="11"/>
  <c r="M5" i="11"/>
  <c r="AH9" i="13"/>
  <c r="K16" i="12"/>
  <c r="K23" i="12"/>
  <c r="AI8" i="12" s="1"/>
  <c r="L5" i="12"/>
  <c r="K23" i="9"/>
  <c r="AI8" i="9" s="1"/>
  <c r="K5" i="10"/>
  <c r="L5" i="9"/>
  <c r="K16" i="9"/>
  <c r="K25" i="4"/>
  <c r="L24" i="11"/>
  <c r="I22" i="12"/>
  <c r="H28" i="12"/>
  <c r="H18" i="12"/>
  <c r="P22" i="14"/>
  <c r="L5" i="20"/>
  <c r="K68" i="20"/>
  <c r="K74" i="20"/>
  <c r="K80" i="20"/>
  <c r="J28" i="11"/>
  <c r="K22" i="11"/>
  <c r="D40" i="22"/>
  <c r="D41" i="22"/>
  <c r="D44" i="22" s="1"/>
  <c r="AH8" i="9"/>
  <c r="B59" i="14"/>
  <c r="H23" i="4"/>
  <c r="H29" i="4" s="1"/>
  <c r="G81" i="13"/>
  <c r="G83" i="13" s="1"/>
  <c r="G31" i="13"/>
  <c r="AH7" i="9"/>
  <c r="AH9" i="9" s="1"/>
  <c r="AH9" i="14"/>
  <c r="D54" i="22"/>
  <c r="D57" i="22" s="1"/>
  <c r="D53" i="22"/>
  <c r="F81" i="13"/>
  <c r="F83" i="13" s="1"/>
  <c r="F31" i="13"/>
  <c r="G54" i="10"/>
  <c r="AH7" i="12"/>
  <c r="AH9" i="12" s="1"/>
  <c r="G19" i="4"/>
  <c r="G20" i="4" s="1"/>
  <c r="G32" i="4" s="1"/>
  <c r="B59" i="12"/>
  <c r="G31" i="9"/>
  <c r="AI7" i="13"/>
  <c r="AI9" i="13" s="1"/>
  <c r="L16" i="14"/>
  <c r="M5" i="14"/>
  <c r="L23" i="14"/>
  <c r="C28" i="22"/>
  <c r="C27" i="22"/>
  <c r="C76" i="22" s="1"/>
  <c r="AI7" i="11"/>
  <c r="AI9" i="11" s="1"/>
  <c r="AF5" i="4"/>
  <c r="I54" i="14"/>
  <c r="L23" i="13"/>
  <c r="M5" i="13"/>
  <c r="L16" i="13"/>
  <c r="AI7" i="14"/>
  <c r="K18" i="14"/>
  <c r="K19" i="14"/>
  <c r="B54" i="11"/>
  <c r="B54" i="10"/>
  <c r="AI8" i="11"/>
  <c r="J23" i="10"/>
  <c r="J16" i="10"/>
  <c r="J18" i="11"/>
  <c r="J19" i="11" s="1"/>
  <c r="H28" i="9"/>
  <c r="I22" i="9"/>
  <c r="H18" i="9"/>
  <c r="H19" i="9" s="1"/>
  <c r="G31" i="12"/>
  <c r="AG7" i="10"/>
  <c r="I17" i="4"/>
  <c r="I19" i="10"/>
  <c r="I18" i="10"/>
  <c r="K28" i="11" l="1"/>
  <c r="L22" i="11"/>
  <c r="K23" i="10"/>
  <c r="K16" i="10"/>
  <c r="K31" i="14"/>
  <c r="F87" i="20"/>
  <c r="E91" i="12" s="1"/>
  <c r="N87" i="20"/>
  <c r="M91" i="12" s="1"/>
  <c r="V87" i="20"/>
  <c r="U91" i="12" s="1"/>
  <c r="H87" i="20"/>
  <c r="G91" i="12" s="1"/>
  <c r="B87" i="20"/>
  <c r="B88" i="20" s="1"/>
  <c r="C85" i="20" s="1"/>
  <c r="C88" i="20" s="1"/>
  <c r="D85" i="20" s="1"/>
  <c r="D88" i="20" s="1"/>
  <c r="E85" i="20" s="1"/>
  <c r="E88" i="20" s="1"/>
  <c r="F85" i="20" s="1"/>
  <c r="F88" i="20" s="1"/>
  <c r="G85" i="20" s="1"/>
  <c r="G88" i="20" s="1"/>
  <c r="H85" i="20" s="1"/>
  <c r="H88" i="20" s="1"/>
  <c r="I85" i="20" s="1"/>
  <c r="I88" i="20" s="1"/>
  <c r="J85" i="20" s="1"/>
  <c r="J88" i="20" s="1"/>
  <c r="K85" i="20" s="1"/>
  <c r="K88" i="20" s="1"/>
  <c r="L85" i="20" s="1"/>
  <c r="L88" i="20" s="1"/>
  <c r="M85" i="20" s="1"/>
  <c r="M88" i="20" s="1"/>
  <c r="N85" i="20" s="1"/>
  <c r="N88" i="20" s="1"/>
  <c r="O85" i="20" s="1"/>
  <c r="J87" i="20"/>
  <c r="I91" i="12" s="1"/>
  <c r="G87" i="20"/>
  <c r="F91" i="12" s="1"/>
  <c r="T87" i="20"/>
  <c r="S91" i="12" s="1"/>
  <c r="K87" i="20"/>
  <c r="J91" i="12" s="1"/>
  <c r="L87" i="20"/>
  <c r="K91" i="12" s="1"/>
  <c r="S87" i="20"/>
  <c r="R91" i="12" s="1"/>
  <c r="D87" i="20"/>
  <c r="C91" i="12" s="1"/>
  <c r="C87" i="20"/>
  <c r="B91" i="12" s="1"/>
  <c r="E87" i="20"/>
  <c r="D91" i="12" s="1"/>
  <c r="U87" i="20"/>
  <c r="T91" i="12" s="1"/>
  <c r="M87" i="20"/>
  <c r="L91" i="12" s="1"/>
  <c r="I87" i="20"/>
  <c r="H91" i="12" s="1"/>
  <c r="J22" i="9"/>
  <c r="I28" i="9"/>
  <c r="I18" i="9"/>
  <c r="I19" i="9" s="1"/>
  <c r="I28" i="12"/>
  <c r="J22" i="12"/>
  <c r="I18" i="12"/>
  <c r="I19" i="12" s="1"/>
  <c r="C37" i="20"/>
  <c r="B33" i="12" s="1"/>
  <c r="K37" i="20"/>
  <c r="J33" i="12" s="1"/>
  <c r="J90" i="12" s="1"/>
  <c r="S37" i="20"/>
  <c r="R33" i="12" s="1"/>
  <c r="R90" i="12" s="1"/>
  <c r="G37" i="20"/>
  <c r="F33" i="12" s="1"/>
  <c r="F90" i="12" s="1"/>
  <c r="P37" i="20"/>
  <c r="O33" i="12" s="1"/>
  <c r="O90" i="12" s="1"/>
  <c r="I37" i="20"/>
  <c r="H33" i="12" s="1"/>
  <c r="H90" i="12" s="1"/>
  <c r="R37" i="20"/>
  <c r="Q33" i="12" s="1"/>
  <c r="Q90" i="12" s="1"/>
  <c r="B37" i="20"/>
  <c r="L37" i="20"/>
  <c r="K33" i="12" s="1"/>
  <c r="K90" i="12" s="1"/>
  <c r="U37" i="20"/>
  <c r="T33" i="12" s="1"/>
  <c r="T90" i="12" s="1"/>
  <c r="D37" i="20"/>
  <c r="C33" i="12" s="1"/>
  <c r="Q37" i="20"/>
  <c r="P33" i="12" s="1"/>
  <c r="P90" i="12" s="1"/>
  <c r="F37" i="20"/>
  <c r="E33" i="12" s="1"/>
  <c r="V37" i="20"/>
  <c r="U33" i="12" s="1"/>
  <c r="U90" i="12" s="1"/>
  <c r="H37" i="20"/>
  <c r="G33" i="12" s="1"/>
  <c r="G90" i="12" s="1"/>
  <c r="B38" i="20"/>
  <c r="C36" i="20" s="1"/>
  <c r="C38" i="20" s="1"/>
  <c r="T37" i="20"/>
  <c r="S33" i="12" s="1"/>
  <c r="S90" i="12" s="1"/>
  <c r="E37" i="20"/>
  <c r="D33" i="12" s="1"/>
  <c r="J37" i="20"/>
  <c r="I33" i="12" s="1"/>
  <c r="I90" i="12" s="1"/>
  <c r="M37" i="20"/>
  <c r="L33" i="12" s="1"/>
  <c r="L90" i="12" s="1"/>
  <c r="O37" i="20"/>
  <c r="N33" i="12" s="1"/>
  <c r="N90" i="12" s="1"/>
  <c r="N37" i="20"/>
  <c r="M33" i="12" s="1"/>
  <c r="M90" i="12" s="1"/>
  <c r="F93" i="20"/>
  <c r="E92" i="13" s="1"/>
  <c r="N93" i="20"/>
  <c r="M92" i="13" s="1"/>
  <c r="V93" i="20"/>
  <c r="U92" i="13" s="1"/>
  <c r="H93" i="20"/>
  <c r="G92" i="13" s="1"/>
  <c r="B93" i="20"/>
  <c r="B94" i="20" s="1"/>
  <c r="C91" i="20" s="1"/>
  <c r="C94" i="20" s="1"/>
  <c r="D91" i="20" s="1"/>
  <c r="D94" i="20" s="1"/>
  <c r="E91" i="20" s="1"/>
  <c r="E94" i="20" s="1"/>
  <c r="F91" i="20" s="1"/>
  <c r="F94" i="20" s="1"/>
  <c r="G91" i="20" s="1"/>
  <c r="G94" i="20" s="1"/>
  <c r="H91" i="20" s="1"/>
  <c r="H94" i="20" s="1"/>
  <c r="I91" i="20" s="1"/>
  <c r="I94" i="20" s="1"/>
  <c r="J91" i="20" s="1"/>
  <c r="J94" i="20" s="1"/>
  <c r="K91" i="20" s="1"/>
  <c r="K94" i="20" s="1"/>
  <c r="L91" i="20" s="1"/>
  <c r="L94" i="20" s="1"/>
  <c r="M91" i="20" s="1"/>
  <c r="M94" i="20" s="1"/>
  <c r="N91" i="20" s="1"/>
  <c r="N94" i="20" s="1"/>
  <c r="O91" i="20" s="1"/>
  <c r="O94" i="20" s="1"/>
  <c r="P91" i="20" s="1"/>
  <c r="J93" i="20"/>
  <c r="I92" i="13" s="1"/>
  <c r="C93" i="20"/>
  <c r="B92" i="13" s="1"/>
  <c r="O93" i="20"/>
  <c r="N92" i="13" s="1"/>
  <c r="E93" i="20"/>
  <c r="D92" i="13" s="1"/>
  <c r="S93" i="20"/>
  <c r="R92" i="13" s="1"/>
  <c r="G93" i="20"/>
  <c r="F92" i="13" s="1"/>
  <c r="T93" i="20"/>
  <c r="S92" i="13" s="1"/>
  <c r="U93" i="20"/>
  <c r="T92" i="13" s="1"/>
  <c r="L93" i="20"/>
  <c r="K92" i="13" s="1"/>
  <c r="M93" i="20"/>
  <c r="L92" i="13" s="1"/>
  <c r="D93" i="20"/>
  <c r="C92" i="13" s="1"/>
  <c r="I93" i="20"/>
  <c r="H92" i="13" s="1"/>
  <c r="K93" i="20"/>
  <c r="J92" i="13" s="1"/>
  <c r="C91" i="22"/>
  <c r="C38" i="4" s="1"/>
  <c r="I19" i="4"/>
  <c r="AI9" i="14"/>
  <c r="D12" i="22"/>
  <c r="C73" i="22"/>
  <c r="G54" i="9"/>
  <c r="D60" i="22"/>
  <c r="D61" i="22"/>
  <c r="D64" i="22" s="1"/>
  <c r="L25" i="4"/>
  <c r="M24" i="11"/>
  <c r="AI7" i="12"/>
  <c r="AI9" i="12" s="1"/>
  <c r="N25" i="10"/>
  <c r="M26" i="4"/>
  <c r="O86" i="20"/>
  <c r="O87" i="20" s="1"/>
  <c r="N91" i="12" s="1"/>
  <c r="O92" i="20"/>
  <c r="O98" i="20"/>
  <c r="P6" i="20"/>
  <c r="E53" i="20"/>
  <c r="D33" i="14" s="1"/>
  <c r="M53" i="20"/>
  <c r="L33" i="14" s="1"/>
  <c r="L84" i="14" s="1"/>
  <c r="U53" i="20"/>
  <c r="T33" i="14" s="1"/>
  <c r="T84" i="14" s="1"/>
  <c r="J53" i="20"/>
  <c r="I33" i="14" s="1"/>
  <c r="S53" i="20"/>
  <c r="R33" i="14" s="1"/>
  <c r="R84" i="14" s="1"/>
  <c r="C53" i="20"/>
  <c r="B33" i="14" s="1"/>
  <c r="L53" i="20"/>
  <c r="K33" i="14" s="1"/>
  <c r="K84" i="14" s="1"/>
  <c r="V53" i="20"/>
  <c r="U33" i="14" s="1"/>
  <c r="U84" i="14" s="1"/>
  <c r="F53" i="20"/>
  <c r="E33" i="14" s="1"/>
  <c r="O53" i="20"/>
  <c r="N33" i="14" s="1"/>
  <c r="N84" i="14" s="1"/>
  <c r="I53" i="20"/>
  <c r="H33" i="14" s="1"/>
  <c r="N53" i="20"/>
  <c r="M33" i="14" s="1"/>
  <c r="M84" i="14" s="1"/>
  <c r="P53" i="20"/>
  <c r="O33" i="14" s="1"/>
  <c r="O84" i="14" s="1"/>
  <c r="K53" i="20"/>
  <c r="J33" i="14" s="1"/>
  <c r="J84" i="14" s="1"/>
  <c r="Q53" i="20"/>
  <c r="P33" i="14" s="1"/>
  <c r="P84" i="14" s="1"/>
  <c r="T53" i="20"/>
  <c r="S33" i="14" s="1"/>
  <c r="S84" i="14" s="1"/>
  <c r="B53" i="20"/>
  <c r="B54" i="20" s="1"/>
  <c r="C52" i="20" s="1"/>
  <c r="C54" i="20" s="1"/>
  <c r="D52" i="20" s="1"/>
  <c r="D54" i="20" s="1"/>
  <c r="E52" i="20" s="1"/>
  <c r="E54" i="20" s="1"/>
  <c r="F52" i="20" s="1"/>
  <c r="F54" i="20" s="1"/>
  <c r="G52" i="20" s="1"/>
  <c r="G54" i="20" s="1"/>
  <c r="H52" i="20" s="1"/>
  <c r="H54" i="20" s="1"/>
  <c r="I52" i="20" s="1"/>
  <c r="I54" i="20" s="1"/>
  <c r="J52" i="20" s="1"/>
  <c r="J54" i="20" s="1"/>
  <c r="K52" i="20" s="1"/>
  <c r="K54" i="20" s="1"/>
  <c r="L52" i="20" s="1"/>
  <c r="L54" i="20" s="1"/>
  <c r="M52" i="20" s="1"/>
  <c r="M54" i="20" s="1"/>
  <c r="N52" i="20" s="1"/>
  <c r="N54" i="20" s="1"/>
  <c r="O52" i="20" s="1"/>
  <c r="O54" i="20" s="1"/>
  <c r="P52" i="20" s="1"/>
  <c r="P54" i="20" s="1"/>
  <c r="Q52" i="20" s="1"/>
  <c r="Q54" i="20" s="1"/>
  <c r="R52" i="20" s="1"/>
  <c r="R54" i="20" s="1"/>
  <c r="S52" i="20" s="1"/>
  <c r="S54" i="20" s="1"/>
  <c r="T52" i="20" s="1"/>
  <c r="T54" i="20" s="1"/>
  <c r="U52" i="20" s="1"/>
  <c r="U54" i="20" s="1"/>
  <c r="V52" i="20" s="1"/>
  <c r="V54" i="20" s="1"/>
  <c r="D53" i="20"/>
  <c r="C33" i="14" s="1"/>
  <c r="G53" i="20"/>
  <c r="F33" i="14" s="1"/>
  <c r="H53" i="20"/>
  <c r="G33" i="14" s="1"/>
  <c r="R53" i="20"/>
  <c r="Q33" i="14" s="1"/>
  <c r="Q84" i="14" s="1"/>
  <c r="F81" i="20"/>
  <c r="E88" i="11" s="1"/>
  <c r="V81" i="20"/>
  <c r="U88" i="11" s="1"/>
  <c r="H81" i="20"/>
  <c r="G88" i="11" s="1"/>
  <c r="B81" i="20"/>
  <c r="J81" i="20"/>
  <c r="I88" i="11" s="1"/>
  <c r="C81" i="20"/>
  <c r="B88" i="11" s="1"/>
  <c r="D81" i="20"/>
  <c r="C88" i="11" s="1"/>
  <c r="E81" i="20"/>
  <c r="D88" i="11" s="1"/>
  <c r="B82" i="20"/>
  <c r="C79" i="20" s="1"/>
  <c r="C82" i="20" s="1"/>
  <c r="D79" i="20" s="1"/>
  <c r="I81" i="20"/>
  <c r="H88" i="11" s="1"/>
  <c r="K81" i="20"/>
  <c r="J88" i="11" s="1"/>
  <c r="S81" i="20"/>
  <c r="R88" i="11" s="1"/>
  <c r="T81" i="20"/>
  <c r="S88" i="11" s="1"/>
  <c r="U81" i="20"/>
  <c r="T88" i="11" s="1"/>
  <c r="G81" i="20"/>
  <c r="F88" i="11" s="1"/>
  <c r="AH8" i="10"/>
  <c r="J24" i="4"/>
  <c r="AH6" i="4" s="1"/>
  <c r="AJ7" i="11"/>
  <c r="L18" i="11"/>
  <c r="L19" i="11"/>
  <c r="I21" i="20"/>
  <c r="Q21" i="20"/>
  <c r="C21" i="20"/>
  <c r="K21" i="20"/>
  <c r="S21" i="20"/>
  <c r="J21" i="20"/>
  <c r="U21" i="20"/>
  <c r="B21" i="20"/>
  <c r="B58" i="20" s="1"/>
  <c r="M21" i="20"/>
  <c r="E21" i="20"/>
  <c r="O21" i="20"/>
  <c r="N21" i="20"/>
  <c r="R21" i="20"/>
  <c r="D21" i="20"/>
  <c r="T21" i="20"/>
  <c r="B57" i="20"/>
  <c r="B59" i="20" s="1"/>
  <c r="C57" i="20" s="1"/>
  <c r="V21" i="20"/>
  <c r="F21" i="20"/>
  <c r="G21" i="20"/>
  <c r="H21" i="20"/>
  <c r="L21" i="20"/>
  <c r="P21" i="20"/>
  <c r="G54" i="12"/>
  <c r="G35" i="12"/>
  <c r="H19" i="12"/>
  <c r="F29" i="20"/>
  <c r="E33" i="11" s="1"/>
  <c r="N29" i="20"/>
  <c r="M33" i="11" s="1"/>
  <c r="M87" i="11" s="1"/>
  <c r="V29" i="20"/>
  <c r="U33" i="11" s="1"/>
  <c r="U87" i="11" s="1"/>
  <c r="H29" i="20"/>
  <c r="G33" i="11" s="1"/>
  <c r="P29" i="20"/>
  <c r="O33" i="11" s="1"/>
  <c r="O87" i="11" s="1"/>
  <c r="G29" i="20"/>
  <c r="F33" i="11" s="1"/>
  <c r="R29" i="20"/>
  <c r="Q33" i="11" s="1"/>
  <c r="Q87" i="11" s="1"/>
  <c r="J29" i="20"/>
  <c r="I33" i="11" s="1"/>
  <c r="T29" i="20"/>
  <c r="S33" i="11" s="1"/>
  <c r="S87" i="11" s="1"/>
  <c r="B29" i="20"/>
  <c r="L29" i="20"/>
  <c r="K33" i="11" s="1"/>
  <c r="K87" i="11" s="1"/>
  <c r="B30" i="20"/>
  <c r="C28" i="20" s="1"/>
  <c r="C30" i="20" s="1"/>
  <c r="D28" i="20" s="1"/>
  <c r="D30" i="20" s="1"/>
  <c r="E28" i="20" s="1"/>
  <c r="E30" i="20" s="1"/>
  <c r="F28" i="20" s="1"/>
  <c r="F30" i="20" s="1"/>
  <c r="G28" i="20" s="1"/>
  <c r="G30" i="20" s="1"/>
  <c r="H28" i="20" s="1"/>
  <c r="H30" i="20" s="1"/>
  <c r="I28" i="20" s="1"/>
  <c r="I30" i="20" s="1"/>
  <c r="J28" i="20" s="1"/>
  <c r="J30" i="20" s="1"/>
  <c r="K28" i="20" s="1"/>
  <c r="K29" i="20"/>
  <c r="J33" i="11" s="1"/>
  <c r="J87" i="11" s="1"/>
  <c r="O29" i="20"/>
  <c r="N33" i="11" s="1"/>
  <c r="N87" i="11" s="1"/>
  <c r="Q29" i="20"/>
  <c r="P33" i="11" s="1"/>
  <c r="P87" i="11" s="1"/>
  <c r="C29" i="20"/>
  <c r="B33" i="11" s="1"/>
  <c r="D29" i="20"/>
  <c r="C33" i="11" s="1"/>
  <c r="I29" i="20"/>
  <c r="H33" i="11" s="1"/>
  <c r="E29" i="20"/>
  <c r="D33" i="11" s="1"/>
  <c r="M29" i="20"/>
  <c r="L33" i="11" s="1"/>
  <c r="L87" i="11" s="1"/>
  <c r="S29" i="20"/>
  <c r="R33" i="11" s="1"/>
  <c r="R87" i="11" s="1"/>
  <c r="U29" i="20"/>
  <c r="T33" i="11" s="1"/>
  <c r="T87" i="11" s="1"/>
  <c r="B59" i="10"/>
  <c r="L23" i="12"/>
  <c r="AJ8" i="12" s="1"/>
  <c r="M5" i="12"/>
  <c r="L16" i="12"/>
  <c r="H45" i="20"/>
  <c r="G33" i="13" s="1"/>
  <c r="G91" i="13" s="1"/>
  <c r="P45" i="20"/>
  <c r="O33" i="13" s="1"/>
  <c r="O91" i="13" s="1"/>
  <c r="D45" i="20"/>
  <c r="C33" i="13" s="1"/>
  <c r="M45" i="20"/>
  <c r="L33" i="13" s="1"/>
  <c r="L91" i="13" s="1"/>
  <c r="V45" i="20"/>
  <c r="U33" i="13" s="1"/>
  <c r="U91" i="13" s="1"/>
  <c r="F45" i="20"/>
  <c r="E33" i="13" s="1"/>
  <c r="O45" i="20"/>
  <c r="N33" i="13" s="1"/>
  <c r="N91" i="13" s="1"/>
  <c r="I45" i="20"/>
  <c r="H33" i="13" s="1"/>
  <c r="H91" i="13" s="1"/>
  <c r="R45" i="20"/>
  <c r="Q33" i="13" s="1"/>
  <c r="Q91" i="13" s="1"/>
  <c r="E45" i="20"/>
  <c r="D33" i="13" s="1"/>
  <c r="T45" i="20"/>
  <c r="S33" i="13" s="1"/>
  <c r="S91" i="13" s="1"/>
  <c r="J45" i="20"/>
  <c r="I33" i="13" s="1"/>
  <c r="I91" i="13" s="1"/>
  <c r="K45" i="20"/>
  <c r="J33" i="13" s="1"/>
  <c r="J91" i="13" s="1"/>
  <c r="N45" i="20"/>
  <c r="M33" i="13" s="1"/>
  <c r="M91" i="13" s="1"/>
  <c r="Q45" i="20"/>
  <c r="P33" i="13" s="1"/>
  <c r="P91" i="13" s="1"/>
  <c r="U45" i="20"/>
  <c r="T33" i="13" s="1"/>
  <c r="T91" i="13" s="1"/>
  <c r="C45" i="20"/>
  <c r="B33" i="13" s="1"/>
  <c r="G45" i="20"/>
  <c r="F33" i="13" s="1"/>
  <c r="F91" i="13" s="1"/>
  <c r="L45" i="20"/>
  <c r="K33" i="13" s="1"/>
  <c r="K91" i="13" s="1"/>
  <c r="B45" i="20"/>
  <c r="B46" i="20" s="1"/>
  <c r="C44" i="20" s="1"/>
  <c r="C46" i="20" s="1"/>
  <c r="D44" i="20" s="1"/>
  <c r="D46" i="20" s="1"/>
  <c r="E44" i="20" s="1"/>
  <c r="E46" i="20" s="1"/>
  <c r="F44" i="20" s="1"/>
  <c r="F46" i="20" s="1"/>
  <c r="G44" i="20" s="1"/>
  <c r="G46" i="20" s="1"/>
  <c r="H44" i="20" s="1"/>
  <c r="H46" i="20" s="1"/>
  <c r="I44" i="20" s="1"/>
  <c r="I46" i="20" s="1"/>
  <c r="J44" i="20" s="1"/>
  <c r="J46" i="20" s="1"/>
  <c r="K44" i="20" s="1"/>
  <c r="K46" i="20" s="1"/>
  <c r="L44" i="20" s="1"/>
  <c r="L46" i="20" s="1"/>
  <c r="M44" i="20" s="1"/>
  <c r="M46" i="20" s="1"/>
  <c r="N44" i="20" s="1"/>
  <c r="N46" i="20" s="1"/>
  <c r="O44" i="20" s="1"/>
  <c r="O46" i="20" s="1"/>
  <c r="P44" i="20" s="1"/>
  <c r="P46" i="20" s="1"/>
  <c r="Q44" i="20" s="1"/>
  <c r="Q46" i="20" s="1"/>
  <c r="R44" i="20" s="1"/>
  <c r="R46" i="20" s="1"/>
  <c r="S44" i="20" s="1"/>
  <c r="S46" i="20" s="1"/>
  <c r="T44" i="20" s="1"/>
  <c r="T46" i="20" s="1"/>
  <c r="U44" i="20" s="1"/>
  <c r="U46" i="20" s="1"/>
  <c r="V44" i="20" s="1"/>
  <c r="V46" i="20" s="1"/>
  <c r="S45" i="20"/>
  <c r="R33" i="13" s="1"/>
  <c r="R91" i="13" s="1"/>
  <c r="D15" i="5"/>
  <c r="C77" i="22"/>
  <c r="H31" i="13"/>
  <c r="H81" i="13"/>
  <c r="H83" i="13" s="1"/>
  <c r="C10" i="5"/>
  <c r="B8" i="22"/>
  <c r="B79" i="22" s="1"/>
  <c r="B61" i="2"/>
  <c r="J28" i="10"/>
  <c r="K22" i="10"/>
  <c r="I31" i="10"/>
  <c r="AJ7" i="13"/>
  <c r="AJ8" i="14"/>
  <c r="L28" i="14"/>
  <c r="H19" i="4"/>
  <c r="H20" i="4" s="1"/>
  <c r="I28" i="13"/>
  <c r="J22" i="13"/>
  <c r="J23" i="4" s="1"/>
  <c r="J29" i="4" s="1"/>
  <c r="I18" i="13"/>
  <c r="I19" i="13" s="1"/>
  <c r="F69" i="20"/>
  <c r="V69" i="20"/>
  <c r="H69" i="20"/>
  <c r="B69" i="20"/>
  <c r="B104" i="20" s="1"/>
  <c r="B109" i="20" s="1"/>
  <c r="B111" i="20" s="1"/>
  <c r="J69" i="20"/>
  <c r="I69" i="20"/>
  <c r="U69" i="20"/>
  <c r="E69" i="20"/>
  <c r="G69" i="20"/>
  <c r="C69" i="20"/>
  <c r="B103" i="20"/>
  <c r="D69" i="20"/>
  <c r="K69" i="20"/>
  <c r="S69" i="20"/>
  <c r="T69" i="20"/>
  <c r="J35" i="14"/>
  <c r="J54" i="14"/>
  <c r="F75" i="20"/>
  <c r="E88" i="10" s="1"/>
  <c r="V75" i="20"/>
  <c r="U88" i="10" s="1"/>
  <c r="H75" i="20"/>
  <c r="G88" i="10" s="1"/>
  <c r="B75" i="20"/>
  <c r="J75" i="20"/>
  <c r="I88" i="10" s="1"/>
  <c r="D75" i="20"/>
  <c r="C88" i="10" s="1"/>
  <c r="G75" i="20"/>
  <c r="F88" i="10" s="1"/>
  <c r="T75" i="20"/>
  <c r="S88" i="10" s="1"/>
  <c r="I75" i="20"/>
  <c r="H88" i="10" s="1"/>
  <c r="U75" i="20"/>
  <c r="T88" i="10" s="1"/>
  <c r="C75" i="20"/>
  <c r="B88" i="10" s="1"/>
  <c r="E75" i="20"/>
  <c r="D88" i="10" s="1"/>
  <c r="K75" i="20"/>
  <c r="J88" i="10" s="1"/>
  <c r="S75" i="20"/>
  <c r="R88" i="10" s="1"/>
  <c r="B76" i="20"/>
  <c r="C73" i="20" s="1"/>
  <c r="H31" i="9"/>
  <c r="AG5" i="4"/>
  <c r="I20" i="4"/>
  <c r="I32" i="4" s="1"/>
  <c r="J31" i="11"/>
  <c r="N5" i="13"/>
  <c r="M23" i="13"/>
  <c r="AK8" i="13" s="1"/>
  <c r="M16" i="13"/>
  <c r="K18" i="11"/>
  <c r="K19" i="11" s="1"/>
  <c r="M23" i="14"/>
  <c r="M16" i="14"/>
  <c r="N5" i="14"/>
  <c r="G54" i="13"/>
  <c r="D47" i="22"/>
  <c r="D48" i="22"/>
  <c r="E32" i="22" s="1"/>
  <c r="L74" i="20"/>
  <c r="L75" i="20" s="1"/>
  <c r="K88" i="10" s="1"/>
  <c r="M5" i="20"/>
  <c r="L68" i="20"/>
  <c r="L69" i="20" s="1"/>
  <c r="L80" i="20"/>
  <c r="L81" i="20" s="1"/>
  <c r="K88" i="11" s="1"/>
  <c r="AI7" i="9"/>
  <c r="AI9" i="9" s="1"/>
  <c r="F99" i="20"/>
  <c r="E85" i="14" s="1"/>
  <c r="N99" i="20"/>
  <c r="M85" i="14" s="1"/>
  <c r="V99" i="20"/>
  <c r="U85" i="14" s="1"/>
  <c r="H99" i="20"/>
  <c r="G85" i="14" s="1"/>
  <c r="B99" i="20"/>
  <c r="J99" i="20"/>
  <c r="I85" i="14" s="1"/>
  <c r="K99" i="20"/>
  <c r="J85" i="14" s="1"/>
  <c r="B100" i="20"/>
  <c r="C97" i="20" s="1"/>
  <c r="C100" i="20" s="1"/>
  <c r="D97" i="20" s="1"/>
  <c r="M99" i="20"/>
  <c r="L85" i="14" s="1"/>
  <c r="C99" i="20"/>
  <c r="B85" i="14" s="1"/>
  <c r="O99" i="20"/>
  <c r="N85" i="14" s="1"/>
  <c r="I99" i="20"/>
  <c r="H85" i="14" s="1"/>
  <c r="L99" i="20"/>
  <c r="K85" i="14" s="1"/>
  <c r="S99" i="20"/>
  <c r="R85" i="14" s="1"/>
  <c r="T99" i="20"/>
  <c r="S85" i="14" s="1"/>
  <c r="D99" i="20"/>
  <c r="C85" i="14" s="1"/>
  <c r="E99" i="20"/>
  <c r="D85" i="14" s="1"/>
  <c r="G99" i="20"/>
  <c r="F85" i="14" s="1"/>
  <c r="U99" i="20"/>
  <c r="T85" i="14" s="1"/>
  <c r="B59" i="9"/>
  <c r="AG9" i="10"/>
  <c r="AH7" i="10"/>
  <c r="AH9" i="10" s="1"/>
  <c r="J17" i="4"/>
  <c r="J19" i="10"/>
  <c r="J18" i="10"/>
  <c r="B59" i="11"/>
  <c r="AJ8" i="13"/>
  <c r="AJ7" i="14"/>
  <c r="L18" i="14"/>
  <c r="L19" i="14"/>
  <c r="L31" i="14" s="1"/>
  <c r="H10" i="5"/>
  <c r="G8" i="22"/>
  <c r="F54" i="13"/>
  <c r="Q22" i="14"/>
  <c r="M5" i="9"/>
  <c r="L23" i="9"/>
  <c r="AJ8" i="9" s="1"/>
  <c r="L5" i="10"/>
  <c r="L16" i="9"/>
  <c r="M23" i="11"/>
  <c r="N5" i="11"/>
  <c r="M16" i="11"/>
  <c r="F54" i="12"/>
  <c r="D13" i="20"/>
  <c r="C33" i="9" s="1"/>
  <c r="L13" i="20"/>
  <c r="K33" i="9" s="1"/>
  <c r="K90" i="9" s="1"/>
  <c r="T13" i="20"/>
  <c r="S33" i="9" s="1"/>
  <c r="S90" i="9" s="1"/>
  <c r="F13" i="20"/>
  <c r="E33" i="9" s="1"/>
  <c r="N13" i="20"/>
  <c r="M33" i="9" s="1"/>
  <c r="M90" i="9" s="1"/>
  <c r="V13" i="20"/>
  <c r="U33" i="9" s="1"/>
  <c r="U90" i="9" s="1"/>
  <c r="E13" i="20"/>
  <c r="D33" i="9" s="1"/>
  <c r="P13" i="20"/>
  <c r="O33" i="9" s="1"/>
  <c r="O90" i="9" s="1"/>
  <c r="H13" i="20"/>
  <c r="G33" i="9" s="1"/>
  <c r="G90" i="9" s="1"/>
  <c r="R13" i="20"/>
  <c r="Q33" i="9" s="1"/>
  <c r="Q90" i="9" s="1"/>
  <c r="J13" i="20"/>
  <c r="I33" i="9" s="1"/>
  <c r="I90" i="9" s="1"/>
  <c r="U13" i="20"/>
  <c r="T33" i="9" s="1"/>
  <c r="T90" i="9" s="1"/>
  <c r="Q13" i="20"/>
  <c r="P33" i="9" s="1"/>
  <c r="P90" i="9" s="1"/>
  <c r="C13" i="20"/>
  <c r="B33" i="9" s="1"/>
  <c r="B14" i="20"/>
  <c r="C12" i="20" s="1"/>
  <c r="C14" i="20" s="1"/>
  <c r="G13" i="20"/>
  <c r="F33" i="9" s="1"/>
  <c r="M13" i="20"/>
  <c r="L33" i="9" s="1"/>
  <c r="L90" i="9" s="1"/>
  <c r="O13" i="20"/>
  <c r="N33" i="9" s="1"/>
  <c r="N90" i="9" s="1"/>
  <c r="B13" i="20"/>
  <c r="I13" i="20"/>
  <c r="H33" i="9" s="1"/>
  <c r="H90" i="9" s="1"/>
  <c r="K13" i="20"/>
  <c r="J33" i="9" s="1"/>
  <c r="J90" i="9" s="1"/>
  <c r="S13" i="20"/>
  <c r="R33" i="9" s="1"/>
  <c r="R90" i="9" s="1"/>
  <c r="F8" i="2"/>
  <c r="F10" i="2" s="1"/>
  <c r="F14" i="2" s="1"/>
  <c r="AG6" i="4"/>
  <c r="K91" i="9" l="1"/>
  <c r="L110" i="20" s="1"/>
  <c r="L104" i="20"/>
  <c r="O88" i="20"/>
  <c r="P85" i="20" s="1"/>
  <c r="B76" i="9"/>
  <c r="D12" i="20"/>
  <c r="D14" i="20" s="1"/>
  <c r="AJ7" i="12"/>
  <c r="AJ9" i="12" s="1"/>
  <c r="L33" i="10"/>
  <c r="L87" i="10" s="1"/>
  <c r="M58" i="20"/>
  <c r="L34" i="4" s="1"/>
  <c r="L13" i="8" s="1"/>
  <c r="K35" i="14"/>
  <c r="K54" i="14"/>
  <c r="S104" i="20"/>
  <c r="R91" i="9"/>
  <c r="S110" i="20" s="1"/>
  <c r="K30" i="20"/>
  <c r="L28" i="20" s="1"/>
  <c r="L30" i="20" s="1"/>
  <c r="M28" i="20" s="1"/>
  <c r="M30" i="20" s="1"/>
  <c r="N28" i="20" s="1"/>
  <c r="N30" i="20" s="1"/>
  <c r="O28" i="20" s="1"/>
  <c r="O30" i="20" s="1"/>
  <c r="P28" i="20" s="1"/>
  <c r="P30" i="20" s="1"/>
  <c r="Q28" i="20" s="1"/>
  <c r="Q30" i="20" s="1"/>
  <c r="R28" i="20" s="1"/>
  <c r="R30" i="20" s="1"/>
  <c r="S28" i="20" s="1"/>
  <c r="S30" i="20" s="1"/>
  <c r="T28" i="20" s="1"/>
  <c r="T30" i="20" s="1"/>
  <c r="U28" i="20" s="1"/>
  <c r="U30" i="20" s="1"/>
  <c r="V28" i="20" s="1"/>
  <c r="V30" i="20" s="1"/>
  <c r="M5" i="10"/>
  <c r="M23" i="9"/>
  <c r="AK8" i="9" s="1"/>
  <c r="N5" i="9"/>
  <c r="M16" i="9"/>
  <c r="E33" i="22"/>
  <c r="E34" i="22"/>
  <c r="E37" i="22" s="1"/>
  <c r="AK8" i="14"/>
  <c r="M28" i="14"/>
  <c r="G91" i="9"/>
  <c r="H110" i="20" s="1"/>
  <c r="H104" i="20"/>
  <c r="I54" i="10"/>
  <c r="I35" i="10"/>
  <c r="C17" i="5"/>
  <c r="D87" i="11"/>
  <c r="D35" i="11"/>
  <c r="O33" i="10"/>
  <c r="O87" i="10" s="1"/>
  <c r="P58" i="20"/>
  <c r="O34" i="4" s="1"/>
  <c r="O13" i="8" s="1"/>
  <c r="C33" i="10"/>
  <c r="D58" i="20"/>
  <c r="C34" i="4" s="1"/>
  <c r="T33" i="10"/>
  <c r="T87" i="10" s="1"/>
  <c r="U58" i="20"/>
  <c r="T34" i="4" s="1"/>
  <c r="T13" i="8" s="1"/>
  <c r="E84" i="14"/>
  <c r="E35" i="14"/>
  <c r="D84" i="14"/>
  <c r="D35" i="14"/>
  <c r="G35" i="9"/>
  <c r="D90" i="12"/>
  <c r="D35" i="12"/>
  <c r="E90" i="9"/>
  <c r="E35" i="9"/>
  <c r="F35" i="12"/>
  <c r="R22" i="14"/>
  <c r="K31" i="11"/>
  <c r="J91" i="9"/>
  <c r="K110" i="20" s="1"/>
  <c r="K104" i="20"/>
  <c r="U91" i="9"/>
  <c r="V110" i="20" s="1"/>
  <c r="V104" i="20"/>
  <c r="H32" i="4"/>
  <c r="H87" i="11"/>
  <c r="H35" i="11"/>
  <c r="K33" i="10"/>
  <c r="K87" i="10" s="1"/>
  <c r="L58" i="20"/>
  <c r="K34" i="4" s="1"/>
  <c r="K13" i="8" s="1"/>
  <c r="Q33" i="10"/>
  <c r="Q87" i="10" s="1"/>
  <c r="R58" i="20"/>
  <c r="Q34" i="4" s="1"/>
  <c r="Q13" i="8" s="1"/>
  <c r="I33" i="10"/>
  <c r="I87" i="10" s="1"/>
  <c r="J58" i="20"/>
  <c r="I34" i="4" s="1"/>
  <c r="I13" i="8" s="1"/>
  <c r="AJ9" i="11"/>
  <c r="Q6" i="20"/>
  <c r="P86" i="20"/>
  <c r="P87" i="20" s="1"/>
  <c r="O91" i="12" s="1"/>
  <c r="P92" i="20"/>
  <c r="P93" i="20" s="1"/>
  <c r="O92" i="13" s="1"/>
  <c r="P98" i="20"/>
  <c r="P99" i="20" s="1"/>
  <c r="O85" i="14" s="1"/>
  <c r="C79" i="9"/>
  <c r="C78" i="10"/>
  <c r="C79" i="12"/>
  <c r="C78" i="11"/>
  <c r="B90" i="12"/>
  <c r="W33" i="12"/>
  <c r="B35" i="12"/>
  <c r="AI7" i="10"/>
  <c r="AI9" i="10" s="1"/>
  <c r="K17" i="4"/>
  <c r="K18" i="10"/>
  <c r="K19" i="10"/>
  <c r="D90" i="9"/>
  <c r="D35" i="9"/>
  <c r="L23" i="10"/>
  <c r="L16" i="10"/>
  <c r="N5" i="20"/>
  <c r="M68" i="20"/>
  <c r="M69" i="20" s="1"/>
  <c r="M74" i="20"/>
  <c r="M75" i="20" s="1"/>
  <c r="L88" i="10" s="1"/>
  <c r="M80" i="20"/>
  <c r="M81" i="20" s="1"/>
  <c r="L88" i="11" s="1"/>
  <c r="J54" i="11"/>
  <c r="J35" i="11"/>
  <c r="S91" i="9"/>
  <c r="T110" i="20" s="1"/>
  <c r="T104" i="20"/>
  <c r="J28" i="13"/>
  <c r="K22" i="13"/>
  <c r="J18" i="13"/>
  <c r="J19" i="13" s="1"/>
  <c r="D17" i="5"/>
  <c r="C63" i="2" s="1"/>
  <c r="H84" i="14"/>
  <c r="H35" i="14"/>
  <c r="B90" i="9"/>
  <c r="W90" i="9" s="1"/>
  <c r="W33" i="9"/>
  <c r="B35" i="9"/>
  <c r="AK7" i="14"/>
  <c r="M18" i="14"/>
  <c r="M19" i="14" s="1"/>
  <c r="M31" i="14" s="1"/>
  <c r="AJ9" i="13"/>
  <c r="E91" i="13"/>
  <c r="E35" i="13"/>
  <c r="G87" i="11"/>
  <c r="G35" i="11"/>
  <c r="S33" i="10"/>
  <c r="S87" i="10" s="1"/>
  <c r="T58" i="20"/>
  <c r="S34" i="4" s="1"/>
  <c r="S13" i="8" s="1"/>
  <c r="C90" i="12"/>
  <c r="C35" i="12"/>
  <c r="J28" i="9"/>
  <c r="K22" i="9"/>
  <c r="J18" i="9"/>
  <c r="J19" i="9" s="1"/>
  <c r="AK7" i="11"/>
  <c r="M18" i="11"/>
  <c r="M19" i="11" s="1"/>
  <c r="L35" i="14"/>
  <c r="L54" i="14"/>
  <c r="J31" i="10"/>
  <c r="G35" i="13"/>
  <c r="AK7" i="13"/>
  <c r="AK9" i="13" s="1"/>
  <c r="H54" i="9"/>
  <c r="H35" i="9"/>
  <c r="C91" i="9"/>
  <c r="D110" i="20" s="1"/>
  <c r="D104" i="20"/>
  <c r="T91" i="9"/>
  <c r="U110" i="20" s="1"/>
  <c r="U104" i="20"/>
  <c r="K28" i="10"/>
  <c r="L22" i="10"/>
  <c r="K23" i="4"/>
  <c r="K29" i="4" s="1"/>
  <c r="H54" i="13"/>
  <c r="H35" i="13"/>
  <c r="C91" i="13"/>
  <c r="C35" i="13"/>
  <c r="C39" i="13" s="1"/>
  <c r="C87" i="11"/>
  <c r="C35" i="11"/>
  <c r="E87" i="11"/>
  <c r="E35" i="11"/>
  <c r="G33" i="10"/>
  <c r="H58" i="20"/>
  <c r="G34" i="4" s="1"/>
  <c r="N58" i="20"/>
  <c r="M34" i="4" s="1"/>
  <c r="M13" i="8" s="1"/>
  <c r="M33" i="10"/>
  <c r="M87" i="10" s="1"/>
  <c r="R33" i="10"/>
  <c r="R87" i="10" s="1"/>
  <c r="S58" i="20"/>
  <c r="R34" i="4" s="1"/>
  <c r="R13" i="8" s="1"/>
  <c r="D14" i="22"/>
  <c r="D17" i="22" s="1"/>
  <c r="D13" i="22"/>
  <c r="D72" i="22"/>
  <c r="B76" i="12"/>
  <c r="D36" i="20"/>
  <c r="D38" i="20" s="1"/>
  <c r="I31" i="12"/>
  <c r="AI8" i="10"/>
  <c r="K24" i="4"/>
  <c r="O5" i="11"/>
  <c r="N23" i="11"/>
  <c r="AL8" i="11" s="1"/>
  <c r="N16" i="11"/>
  <c r="AH5" i="4"/>
  <c r="C76" i="20"/>
  <c r="D73" i="20" s="1"/>
  <c r="D76" i="20" s="1"/>
  <c r="E73" i="20" s="1"/>
  <c r="E76" i="20" s="1"/>
  <c r="F73" i="20" s="1"/>
  <c r="F76" i="20" s="1"/>
  <c r="G73" i="20" s="1"/>
  <c r="G76" i="20" s="1"/>
  <c r="H73" i="20" s="1"/>
  <c r="H76" i="20" s="1"/>
  <c r="I73" i="20" s="1"/>
  <c r="I76" i="20" s="1"/>
  <c r="J73" i="20" s="1"/>
  <c r="J76" i="20" s="1"/>
  <c r="K73" i="20" s="1"/>
  <c r="K76" i="20" s="1"/>
  <c r="L73" i="20" s="1"/>
  <c r="L76" i="20" s="1"/>
  <c r="M73" i="20" s="1"/>
  <c r="M76" i="20" s="1"/>
  <c r="N73" i="20" s="1"/>
  <c r="B105" i="20"/>
  <c r="C103" i="20" s="1"/>
  <c r="H91" i="9"/>
  <c r="I110" i="20" s="1"/>
  <c r="I104" i="20"/>
  <c r="E91" i="9"/>
  <c r="F110" i="20" s="1"/>
  <c r="F104" i="20"/>
  <c r="W33" i="13"/>
  <c r="B91" i="13"/>
  <c r="B35" i="13"/>
  <c r="D91" i="13"/>
  <c r="D35" i="13"/>
  <c r="B87" i="11"/>
  <c r="W87" i="11" s="1"/>
  <c r="W33" i="11"/>
  <c r="B35" i="11"/>
  <c r="I87" i="11"/>
  <c r="I35" i="11"/>
  <c r="F33" i="10"/>
  <c r="G58" i="20"/>
  <c r="F34" i="4" s="1"/>
  <c r="N33" i="10"/>
  <c r="N87" i="10" s="1"/>
  <c r="O58" i="20"/>
  <c r="N34" i="4" s="1"/>
  <c r="N13" i="8" s="1"/>
  <c r="J33" i="10"/>
  <c r="J87" i="10" s="1"/>
  <c r="K58" i="20"/>
  <c r="J34" i="4" s="1"/>
  <c r="J13" i="8" s="1"/>
  <c r="W33" i="14"/>
  <c r="B84" i="14"/>
  <c r="B35" i="14"/>
  <c r="M25" i="4"/>
  <c r="N24" i="11"/>
  <c r="K22" i="12"/>
  <c r="J28" i="12"/>
  <c r="J18" i="12"/>
  <c r="J19" i="12" s="1"/>
  <c r="J31" i="12" s="1"/>
  <c r="L28" i="11"/>
  <c r="L31" i="11" s="1"/>
  <c r="M22" i="11"/>
  <c r="N23" i="14"/>
  <c r="O5" i="14"/>
  <c r="N16" i="14"/>
  <c r="F91" i="9"/>
  <c r="G110" i="20" s="1"/>
  <c r="G104" i="20"/>
  <c r="C59" i="20"/>
  <c r="D57" i="20" s="1"/>
  <c r="D59" i="20" s="1"/>
  <c r="E57" i="20" s="1"/>
  <c r="E59" i="20" s="1"/>
  <c r="F57" i="20" s="1"/>
  <c r="H33" i="10"/>
  <c r="I58" i="20"/>
  <c r="H34" i="4" s="1"/>
  <c r="H13" i="8" s="1"/>
  <c r="C84" i="14"/>
  <c r="C35" i="14"/>
  <c r="O25" i="10"/>
  <c r="N26" i="4"/>
  <c r="J10" i="5"/>
  <c r="I8" i="22"/>
  <c r="D91" i="9"/>
  <c r="E110" i="20" s="1"/>
  <c r="E104" i="20"/>
  <c r="M16" i="12"/>
  <c r="N5" i="12"/>
  <c r="M23" i="12"/>
  <c r="AK8" i="12" s="1"/>
  <c r="C90" i="9"/>
  <c r="C35" i="9"/>
  <c r="AK8" i="11"/>
  <c r="AJ9" i="14"/>
  <c r="O5" i="13"/>
  <c r="N16" i="13"/>
  <c r="N23" i="13"/>
  <c r="AL8" i="13" s="1"/>
  <c r="B91" i="9"/>
  <c r="C104" i="20"/>
  <c r="H31" i="12"/>
  <c r="E33" i="10"/>
  <c r="F58" i="20"/>
  <c r="E34" i="4" s="1"/>
  <c r="D33" i="10"/>
  <c r="E58" i="20"/>
  <c r="D34" i="4" s="1"/>
  <c r="B33" i="10"/>
  <c r="C58" i="20"/>
  <c r="B34" i="4" s="1"/>
  <c r="D82" i="20"/>
  <c r="E79" i="20" s="1"/>
  <c r="E82" i="20" s="1"/>
  <c r="F79" i="20" s="1"/>
  <c r="F82" i="20" s="1"/>
  <c r="G79" i="20" s="1"/>
  <c r="G82" i="20" s="1"/>
  <c r="H79" i="20" s="1"/>
  <c r="H82" i="20" s="1"/>
  <c r="I79" i="20" s="1"/>
  <c r="I82" i="20" s="1"/>
  <c r="J79" i="20" s="1"/>
  <c r="J82" i="20" s="1"/>
  <c r="K79" i="20" s="1"/>
  <c r="K82" i="20" s="1"/>
  <c r="L79" i="20" s="1"/>
  <c r="L82" i="20" s="1"/>
  <c r="M79" i="20" s="1"/>
  <c r="G84" i="14"/>
  <c r="G35" i="14"/>
  <c r="F90" i="9"/>
  <c r="F35" i="9"/>
  <c r="AJ7" i="9"/>
  <c r="AJ9" i="9" s="1"/>
  <c r="F35" i="13"/>
  <c r="D100" i="20"/>
  <c r="E97" i="20" s="1"/>
  <c r="E100" i="20" s="1"/>
  <c r="F97" i="20" s="1"/>
  <c r="F100" i="20" s="1"/>
  <c r="G97" i="20" s="1"/>
  <c r="G100" i="20" s="1"/>
  <c r="H97" i="20" s="1"/>
  <c r="H100" i="20" s="1"/>
  <c r="I97" i="20" s="1"/>
  <c r="I100" i="20" s="1"/>
  <c r="J97" i="20" s="1"/>
  <c r="J100" i="20" s="1"/>
  <c r="K97" i="20" s="1"/>
  <c r="K100" i="20" s="1"/>
  <c r="L97" i="20" s="1"/>
  <c r="L100" i="20" s="1"/>
  <c r="M97" i="20" s="1"/>
  <c r="M100" i="20" s="1"/>
  <c r="N97" i="20" s="1"/>
  <c r="N100" i="20" s="1"/>
  <c r="O97" i="20" s="1"/>
  <c r="O100" i="20" s="1"/>
  <c r="P97" i="20" s="1"/>
  <c r="P100" i="20" s="1"/>
  <c r="Q97" i="20" s="1"/>
  <c r="B70" i="20"/>
  <c r="C67" i="20" s="1"/>
  <c r="C70" i="20" s="1"/>
  <c r="D67" i="20" s="1"/>
  <c r="D70" i="20" s="1"/>
  <c r="E67" i="20" s="1"/>
  <c r="E70" i="20" s="1"/>
  <c r="F67" i="20" s="1"/>
  <c r="F70" i="20" s="1"/>
  <c r="G67" i="20" s="1"/>
  <c r="G70" i="20" s="1"/>
  <c r="H67" i="20" s="1"/>
  <c r="H70" i="20" s="1"/>
  <c r="I67" i="20" s="1"/>
  <c r="I70" i="20" s="1"/>
  <c r="J67" i="20" s="1"/>
  <c r="J70" i="20" s="1"/>
  <c r="K67" i="20" s="1"/>
  <c r="K70" i="20" s="1"/>
  <c r="L67" i="20" s="1"/>
  <c r="L70" i="20" s="1"/>
  <c r="M67" i="20" s="1"/>
  <c r="M70" i="20" s="1"/>
  <c r="N67" i="20" s="1"/>
  <c r="I91" i="9"/>
  <c r="J110" i="20" s="1"/>
  <c r="J104" i="20"/>
  <c r="I31" i="13"/>
  <c r="I81" i="13"/>
  <c r="I83" i="13" s="1"/>
  <c r="C57" i="9"/>
  <c r="C57" i="10"/>
  <c r="C79" i="22"/>
  <c r="C57" i="12"/>
  <c r="C57" i="13"/>
  <c r="C57" i="14"/>
  <c r="C57" i="11"/>
  <c r="F87" i="11"/>
  <c r="F35" i="11"/>
  <c r="U33" i="10"/>
  <c r="U87" i="10" s="1"/>
  <c r="V58" i="20"/>
  <c r="U34" i="4" s="1"/>
  <c r="U13" i="8" s="1"/>
  <c r="B22" i="20"/>
  <c r="C20" i="20" s="1"/>
  <c r="C22" i="20" s="1"/>
  <c r="D20" i="20" s="1"/>
  <c r="D22" i="20" s="1"/>
  <c r="E20" i="20" s="1"/>
  <c r="E22" i="20" s="1"/>
  <c r="F20" i="20" s="1"/>
  <c r="F22" i="20" s="1"/>
  <c r="G20" i="20" s="1"/>
  <c r="G22" i="20" s="1"/>
  <c r="H20" i="20" s="1"/>
  <c r="H22" i="20" s="1"/>
  <c r="I20" i="20" s="1"/>
  <c r="I22" i="20" s="1"/>
  <c r="J20" i="20" s="1"/>
  <c r="J22" i="20" s="1"/>
  <c r="K20" i="20" s="1"/>
  <c r="K22" i="20" s="1"/>
  <c r="L20" i="20" s="1"/>
  <c r="L22" i="20" s="1"/>
  <c r="M20" i="20" s="1"/>
  <c r="M22" i="20" s="1"/>
  <c r="N20" i="20" s="1"/>
  <c r="N22" i="20" s="1"/>
  <c r="O20" i="20" s="1"/>
  <c r="O22" i="20" s="1"/>
  <c r="P20" i="20" s="1"/>
  <c r="P22" i="20" s="1"/>
  <c r="Q20" i="20" s="1"/>
  <c r="Q22" i="20" s="1"/>
  <c r="R20" i="20" s="1"/>
  <c r="R22" i="20" s="1"/>
  <c r="S20" i="20" s="1"/>
  <c r="S22" i="20" s="1"/>
  <c r="T20" i="20" s="1"/>
  <c r="T22" i="20" s="1"/>
  <c r="U20" i="20" s="1"/>
  <c r="U22" i="20" s="1"/>
  <c r="V20" i="20" s="1"/>
  <c r="V22" i="20" s="1"/>
  <c r="P33" i="10"/>
  <c r="P87" i="10" s="1"/>
  <c r="Q58" i="20"/>
  <c r="P34" i="4" s="1"/>
  <c r="P13" i="8" s="1"/>
  <c r="F84" i="14"/>
  <c r="F35" i="14"/>
  <c r="I84" i="14"/>
  <c r="I35" i="14"/>
  <c r="D67" i="22"/>
  <c r="D68" i="22"/>
  <c r="C37" i="9"/>
  <c r="C37" i="10"/>
  <c r="C37" i="12"/>
  <c r="C37" i="11"/>
  <c r="C37" i="13"/>
  <c r="C37" i="14"/>
  <c r="E90" i="12"/>
  <c r="E35" i="12"/>
  <c r="I31" i="9"/>
  <c r="L54" i="11" l="1"/>
  <c r="L35" i="11"/>
  <c r="M35" i="14"/>
  <c r="M54" i="14"/>
  <c r="F109" i="20"/>
  <c r="F111" i="20" s="1"/>
  <c r="E14" i="8"/>
  <c r="O5" i="20"/>
  <c r="N68" i="20"/>
  <c r="N69" i="20" s="1"/>
  <c r="N74" i="20"/>
  <c r="N75" i="20" s="1"/>
  <c r="M88" i="10" s="1"/>
  <c r="N80" i="20"/>
  <c r="N81" i="20" s="1"/>
  <c r="M88" i="11" s="1"/>
  <c r="AI5" i="4"/>
  <c r="K54" i="11"/>
  <c r="K35" i="11"/>
  <c r="B63" i="2"/>
  <c r="M23" i="10"/>
  <c r="M16" i="10"/>
  <c r="L109" i="20"/>
  <c r="L111" i="20" s="1"/>
  <c r="K14" i="8"/>
  <c r="C59" i="11"/>
  <c r="H35" i="12"/>
  <c r="H54" i="12"/>
  <c r="F59" i="20"/>
  <c r="G57" i="20" s="1"/>
  <c r="G59" i="20" s="1"/>
  <c r="H57" i="20" s="1"/>
  <c r="H59" i="20" s="1"/>
  <c r="I57" i="20" s="1"/>
  <c r="I59" i="20" s="1"/>
  <c r="J57" i="20" s="1"/>
  <c r="J59" i="20" s="1"/>
  <c r="K57" i="20" s="1"/>
  <c r="K59" i="20" s="1"/>
  <c r="L57" i="20" s="1"/>
  <c r="L59" i="20" s="1"/>
  <c r="M57" i="20" s="1"/>
  <c r="M59" i="20" s="1"/>
  <c r="N57" i="20" s="1"/>
  <c r="N59" i="20" s="1"/>
  <c r="O57" i="20" s="1"/>
  <c r="O59" i="20" s="1"/>
  <c r="P57" i="20" s="1"/>
  <c r="P59" i="20" s="1"/>
  <c r="Q57" i="20" s="1"/>
  <c r="Q59" i="20" s="1"/>
  <c r="R57" i="20" s="1"/>
  <c r="R59" i="20" s="1"/>
  <c r="S57" i="20" s="1"/>
  <c r="S59" i="20" s="1"/>
  <c r="T57" i="20" s="1"/>
  <c r="T59" i="20" s="1"/>
  <c r="U57" i="20" s="1"/>
  <c r="U59" i="20" s="1"/>
  <c r="V57" i="20" s="1"/>
  <c r="V59" i="20" s="1"/>
  <c r="N22" i="11"/>
  <c r="M28" i="11"/>
  <c r="M31" i="11" s="1"/>
  <c r="B39" i="14"/>
  <c r="F87" i="10"/>
  <c r="F35" i="10"/>
  <c r="AL7" i="11"/>
  <c r="AL9" i="11" s="1"/>
  <c r="N18" i="11"/>
  <c r="N19" i="11"/>
  <c r="G87" i="10"/>
  <c r="G35" i="10"/>
  <c r="J35" i="10"/>
  <c r="J54" i="10"/>
  <c r="W90" i="12"/>
  <c r="I14" i="8"/>
  <c r="J109" i="20"/>
  <c r="J111" i="20" s="1"/>
  <c r="C110" i="20"/>
  <c r="E109" i="20"/>
  <c r="E111" i="20" s="1"/>
  <c r="D14" i="8"/>
  <c r="B39" i="13"/>
  <c r="D21" i="22"/>
  <c r="D24" i="22" s="1"/>
  <c r="D20" i="22"/>
  <c r="M22" i="10"/>
  <c r="L28" i="10"/>
  <c r="J81" i="13"/>
  <c r="J83" i="13" s="1"/>
  <c r="J31" i="13"/>
  <c r="K109" i="20"/>
  <c r="K111" i="20" s="1"/>
  <c r="J14" i="8"/>
  <c r="S22" i="14"/>
  <c r="AK7" i="9"/>
  <c r="AK9" i="9" s="1"/>
  <c r="E52" i="22"/>
  <c r="C59" i="12"/>
  <c r="D13" i="8"/>
  <c r="D36" i="4"/>
  <c r="P25" i="10"/>
  <c r="O26" i="4"/>
  <c r="B39" i="11"/>
  <c r="AI6" i="4"/>
  <c r="C39" i="11"/>
  <c r="B39" i="9"/>
  <c r="K28" i="13"/>
  <c r="L22" i="13"/>
  <c r="K18" i="13"/>
  <c r="K19" i="13" s="1"/>
  <c r="K31" i="10"/>
  <c r="O5" i="9"/>
  <c r="N23" i="9"/>
  <c r="AL8" i="9" s="1"/>
  <c r="N5" i="10"/>
  <c r="N16" i="9"/>
  <c r="P88" i="20"/>
  <c r="Q85" i="20" s="1"/>
  <c r="V109" i="20"/>
  <c r="V111" i="20" s="1"/>
  <c r="U14" i="8"/>
  <c r="C87" i="10"/>
  <c r="C35" i="10"/>
  <c r="C39" i="10" s="1"/>
  <c r="S109" i="20"/>
  <c r="S111" i="20" s="1"/>
  <c r="R14" i="8"/>
  <c r="I54" i="9"/>
  <c r="I35" i="9"/>
  <c r="C59" i="14"/>
  <c r="I54" i="13"/>
  <c r="I35" i="13"/>
  <c r="W34" i="4"/>
  <c r="B13" i="8"/>
  <c r="W13" i="8" s="1"/>
  <c r="B36" i="4"/>
  <c r="B14" i="8"/>
  <c r="C109" i="20"/>
  <c r="C111" i="20" s="1"/>
  <c r="G109" i="20"/>
  <c r="G111" i="20" s="1"/>
  <c r="F14" i="8"/>
  <c r="W84" i="14"/>
  <c r="C105" i="20"/>
  <c r="D103" i="20" s="1"/>
  <c r="D105" i="20" s="1"/>
  <c r="E103" i="20" s="1"/>
  <c r="E105" i="20" s="1"/>
  <c r="F103" i="20" s="1"/>
  <c r="F105" i="20" s="1"/>
  <c r="G103" i="20" s="1"/>
  <c r="G105" i="20" s="1"/>
  <c r="H103" i="20" s="1"/>
  <c r="H105" i="20" s="1"/>
  <c r="I103" i="20" s="1"/>
  <c r="I105" i="20" s="1"/>
  <c r="J103" i="20" s="1"/>
  <c r="J105" i="20" s="1"/>
  <c r="K103" i="20" s="1"/>
  <c r="K105" i="20" s="1"/>
  <c r="L103" i="20" s="1"/>
  <c r="L105" i="20" s="1"/>
  <c r="M103" i="20" s="1"/>
  <c r="J31" i="9"/>
  <c r="R6" i="20"/>
  <c r="Q86" i="20"/>
  <c r="Q87" i="20" s="1"/>
  <c r="P91" i="12" s="1"/>
  <c r="Q92" i="20"/>
  <c r="Q93" i="20" s="1"/>
  <c r="P92" i="13" s="1"/>
  <c r="Q98" i="20"/>
  <c r="Q99" i="20" s="1"/>
  <c r="P85" i="14" s="1"/>
  <c r="C76" i="9"/>
  <c r="E12" i="20"/>
  <c r="E14" i="20" s="1"/>
  <c r="C59" i="13"/>
  <c r="B87" i="10"/>
  <c r="W33" i="10"/>
  <c r="X34" i="4" s="1"/>
  <c r="B35" i="10"/>
  <c r="C39" i="9"/>
  <c r="J35" i="12"/>
  <c r="J54" i="12"/>
  <c r="O16" i="11"/>
  <c r="P5" i="11"/>
  <c r="O23" i="11"/>
  <c r="AM8" i="11" s="1"/>
  <c r="L22" i="9"/>
  <c r="K28" i="9"/>
  <c r="K18" i="9"/>
  <c r="K19" i="9" s="1"/>
  <c r="K31" i="9" s="1"/>
  <c r="AK9" i="14"/>
  <c r="H109" i="20"/>
  <c r="H111" i="20" s="1"/>
  <c r="G14" i="8"/>
  <c r="AL7" i="14"/>
  <c r="N19" i="14"/>
  <c r="N18" i="14"/>
  <c r="W91" i="13"/>
  <c r="N70" i="20"/>
  <c r="O67" i="20" s="1"/>
  <c r="D87" i="10"/>
  <c r="D35" i="10"/>
  <c r="AL7" i="13"/>
  <c r="AL9" i="13" s="1"/>
  <c r="I36" i="4"/>
  <c r="C39" i="14"/>
  <c r="O23" i="14"/>
  <c r="P5" i="14"/>
  <c r="O16" i="14"/>
  <c r="L22" i="12"/>
  <c r="K28" i="12"/>
  <c r="K18" i="12"/>
  <c r="K19" i="12" s="1"/>
  <c r="U109" i="20"/>
  <c r="U111" i="20" s="1"/>
  <c r="T14" i="8"/>
  <c r="C39" i="12"/>
  <c r="L91" i="9"/>
  <c r="M110" i="20" s="1"/>
  <c r="M104" i="20"/>
  <c r="K19" i="4"/>
  <c r="K20" i="4" s="1"/>
  <c r="K32" i="4" s="1"/>
  <c r="C59" i="10"/>
  <c r="E13" i="8"/>
  <c r="E36" i="4"/>
  <c r="O16" i="13"/>
  <c r="P5" i="13"/>
  <c r="O23" i="13"/>
  <c r="AM8" i="13" s="1"/>
  <c r="AL8" i="14"/>
  <c r="N28" i="14"/>
  <c r="I54" i="12"/>
  <c r="I35" i="12"/>
  <c r="C41" i="13"/>
  <c r="C76" i="13"/>
  <c r="C78" i="13" s="1"/>
  <c r="C85" i="13" s="1"/>
  <c r="C90" i="13"/>
  <c r="C93" i="13" s="1"/>
  <c r="C96" i="13" s="1"/>
  <c r="T109" i="20"/>
  <c r="T111" i="20" s="1"/>
  <c r="S14" i="8"/>
  <c r="C59" i="9"/>
  <c r="E87" i="10"/>
  <c r="E35" i="10"/>
  <c r="O5" i="12"/>
  <c r="N23" i="12"/>
  <c r="AL8" i="12" s="1"/>
  <c r="N16" i="12"/>
  <c r="N25" i="4"/>
  <c r="O24" i="11"/>
  <c r="E36" i="20"/>
  <c r="E38" i="20" s="1"/>
  <c r="C76" i="12"/>
  <c r="C14" i="8"/>
  <c r="D109" i="20"/>
  <c r="D111" i="20" s="1"/>
  <c r="AK9" i="11"/>
  <c r="AJ7" i="10"/>
  <c r="L17" i="4"/>
  <c r="L18" i="10"/>
  <c r="L19" i="10" s="1"/>
  <c r="E40" i="22"/>
  <c r="E41" i="22"/>
  <c r="E44" i="22" s="1"/>
  <c r="M82" i="20"/>
  <c r="N79" i="20" s="1"/>
  <c r="N82" i="20" s="1"/>
  <c r="O79" i="20" s="1"/>
  <c r="AK7" i="12"/>
  <c r="AK9" i="12" s="1"/>
  <c r="H87" i="10"/>
  <c r="H35" i="10"/>
  <c r="F13" i="8"/>
  <c r="F36" i="4"/>
  <c r="I109" i="20"/>
  <c r="I111" i="20" s="1"/>
  <c r="H14" i="8"/>
  <c r="G13" i="8"/>
  <c r="G36" i="4"/>
  <c r="AJ8" i="10"/>
  <c r="L24" i="4"/>
  <c r="AJ6" i="4" s="1"/>
  <c r="B39" i="12"/>
  <c r="I10" i="5"/>
  <c r="H8" i="22"/>
  <c r="H36" i="4"/>
  <c r="J19" i="4"/>
  <c r="J20" i="4" s="1"/>
  <c r="C13" i="8"/>
  <c r="C36" i="4"/>
  <c r="C40" i="4" s="1"/>
  <c r="P94" i="20"/>
  <c r="Q91" i="20" s="1"/>
  <c r="Q94" i="20" s="1"/>
  <c r="R91" i="20" s="1"/>
  <c r="M35" i="11" l="1"/>
  <c r="M54" i="11"/>
  <c r="L10" i="5"/>
  <c r="K8" i="22"/>
  <c r="K36" i="4"/>
  <c r="L31" i="10"/>
  <c r="C44" i="13"/>
  <c r="AM7" i="13"/>
  <c r="AM9" i="13" s="1"/>
  <c r="O82" i="20"/>
  <c r="P79" i="20" s="1"/>
  <c r="P23" i="14"/>
  <c r="Q5" i="14"/>
  <c r="P16" i="14"/>
  <c r="E53" i="22"/>
  <c r="E54" i="22"/>
  <c r="E57" i="22" s="1"/>
  <c r="M28" i="10"/>
  <c r="N22" i="10"/>
  <c r="AM8" i="14"/>
  <c r="O28" i="14"/>
  <c r="R98" i="20"/>
  <c r="R99" i="20" s="1"/>
  <c r="Q85" i="14" s="1"/>
  <c r="W85" i="14" s="1"/>
  <c r="R86" i="20"/>
  <c r="R87" i="20" s="1"/>
  <c r="Q91" i="12" s="1"/>
  <c r="W91" i="12" s="1"/>
  <c r="R92" i="20"/>
  <c r="R93" i="20" s="1"/>
  <c r="Q92" i="13" s="1"/>
  <c r="S6" i="20"/>
  <c r="T6" i="20" s="1"/>
  <c r="U6" i="20" s="1"/>
  <c r="V6" i="20" s="1"/>
  <c r="AL7" i="9"/>
  <c r="AL9" i="9" s="1"/>
  <c r="M91" i="9"/>
  <c r="N104" i="20"/>
  <c r="AJ5" i="4"/>
  <c r="P24" i="11"/>
  <c r="O25" i="4"/>
  <c r="K35" i="9"/>
  <c r="K54" i="9"/>
  <c r="D76" i="9"/>
  <c r="F12" i="20"/>
  <c r="F14" i="20" s="1"/>
  <c r="K35" i="10"/>
  <c r="K54" i="10"/>
  <c r="Q25" i="10"/>
  <c r="P26" i="4"/>
  <c r="D28" i="22"/>
  <c r="D27" i="22"/>
  <c r="D91" i="22" s="1"/>
  <c r="D38" i="4" s="1"/>
  <c r="R94" i="20"/>
  <c r="S91" i="20" s="1"/>
  <c r="S94" i="20" s="1"/>
  <c r="T91" i="20" s="1"/>
  <c r="T94" i="20" s="1"/>
  <c r="U91" i="20" s="1"/>
  <c r="U94" i="20" s="1"/>
  <c r="V91" i="20" s="1"/>
  <c r="V94" i="20" s="1"/>
  <c r="AJ9" i="10"/>
  <c r="Q100" i="20"/>
  <c r="R97" i="20" s="1"/>
  <c r="R100" i="20" s="1"/>
  <c r="S97" i="20" s="1"/>
  <c r="S100" i="20" s="1"/>
  <c r="T97" i="20" s="1"/>
  <c r="T100" i="20" s="1"/>
  <c r="U97" i="20" s="1"/>
  <c r="U100" i="20" s="1"/>
  <c r="V97" i="20" s="1"/>
  <c r="V100" i="20" s="1"/>
  <c r="C42" i="13"/>
  <c r="C41" i="9"/>
  <c r="C42" i="9" s="1"/>
  <c r="C44" i="9" s="1"/>
  <c r="C89" i="9"/>
  <c r="C92" i="9" s="1"/>
  <c r="C95" i="9" s="1"/>
  <c r="C41" i="10"/>
  <c r="C86" i="10"/>
  <c r="C89" i="10" s="1"/>
  <c r="C92" i="10" s="1"/>
  <c r="C42" i="10"/>
  <c r="C44" i="10" s="1"/>
  <c r="K81" i="13"/>
  <c r="K83" i="13" s="1"/>
  <c r="K31" i="13"/>
  <c r="C41" i="11"/>
  <c r="C42" i="4" s="1"/>
  <c r="C86" i="11"/>
  <c r="C89" i="11" s="1"/>
  <c r="C92" i="11" s="1"/>
  <c r="O22" i="11"/>
  <c r="N28" i="11"/>
  <c r="N31" i="11" s="1"/>
  <c r="J54" i="9"/>
  <c r="J35" i="9"/>
  <c r="O16" i="12"/>
  <c r="O23" i="12"/>
  <c r="AM8" i="12" s="1"/>
  <c r="P5" i="12"/>
  <c r="AM7" i="11"/>
  <c r="AM9" i="11" s="1"/>
  <c r="O18" i="11"/>
  <c r="O19" i="11" s="1"/>
  <c r="Q88" i="20"/>
  <c r="R85" i="20" s="1"/>
  <c r="B41" i="11"/>
  <c r="B86" i="11"/>
  <c r="B42" i="11"/>
  <c r="B44" i="11"/>
  <c r="F36" i="20"/>
  <c r="F38" i="20" s="1"/>
  <c r="D76" i="12"/>
  <c r="C89" i="12"/>
  <c r="C92" i="12" s="1"/>
  <c r="C95" i="12" s="1"/>
  <c r="C41" i="12"/>
  <c r="C42" i="12"/>
  <c r="C44" i="12" s="1"/>
  <c r="B41" i="14"/>
  <c r="B83" i="14"/>
  <c r="C104" i="13"/>
  <c r="C106" i="13" s="1"/>
  <c r="C61" i="13" s="1"/>
  <c r="C99" i="13"/>
  <c r="C101" i="13"/>
  <c r="C41" i="14"/>
  <c r="C42" i="14" s="1"/>
  <c r="C44" i="14" s="1"/>
  <c r="C83" i="14"/>
  <c r="C86" i="14" s="1"/>
  <c r="C89" i="14" s="1"/>
  <c r="N23" i="10"/>
  <c r="N16" i="10"/>
  <c r="J35" i="13"/>
  <c r="J54" i="13"/>
  <c r="O68" i="20"/>
  <c r="O69" i="20" s="1"/>
  <c r="O74" i="20"/>
  <c r="O75" i="20" s="1"/>
  <c r="N88" i="10" s="1"/>
  <c r="O80" i="20"/>
  <c r="O81" i="20" s="1"/>
  <c r="N88" i="11" s="1"/>
  <c r="P5" i="20"/>
  <c r="B42" i="12"/>
  <c r="B89" i="12"/>
  <c r="B41" i="12"/>
  <c r="P16" i="13"/>
  <c r="Q5" i="13"/>
  <c r="P23" i="13"/>
  <c r="AN8" i="13" s="1"/>
  <c r="K31" i="12"/>
  <c r="N31" i="14"/>
  <c r="M22" i="9"/>
  <c r="L28" i="9"/>
  <c r="L18" i="9"/>
  <c r="L19" i="9" s="1"/>
  <c r="B39" i="10"/>
  <c r="B40" i="4"/>
  <c r="P5" i="9"/>
  <c r="O23" i="9"/>
  <c r="AM8" i="9" s="1"/>
  <c r="O5" i="10"/>
  <c r="O16" i="9"/>
  <c r="M22" i="13"/>
  <c r="M23" i="4" s="1"/>
  <c r="M29" i="4" s="1"/>
  <c r="L28" i="13"/>
  <c r="L18" i="13"/>
  <c r="L19" i="13" s="1"/>
  <c r="B76" i="13"/>
  <c r="B78" i="13" s="1"/>
  <c r="B85" i="13" s="1"/>
  <c r="B90" i="13"/>
  <c r="B41" i="13"/>
  <c r="C12" i="8"/>
  <c r="E48" i="22"/>
  <c r="F32" i="22" s="1"/>
  <c r="E47" i="22"/>
  <c r="AL9" i="14"/>
  <c r="Y13" i="8"/>
  <c r="AL7" i="12"/>
  <c r="AL9" i="12" s="1"/>
  <c r="M109" i="20"/>
  <c r="M111" i="20" s="1"/>
  <c r="L14" i="8"/>
  <c r="M22" i="12"/>
  <c r="L28" i="12"/>
  <c r="L18" i="12"/>
  <c r="L19" i="12" s="1"/>
  <c r="W87" i="10"/>
  <c r="X13" i="8" s="1"/>
  <c r="M105" i="20"/>
  <c r="N103" i="20" s="1"/>
  <c r="N105" i="20" s="1"/>
  <c r="O103" i="20" s="1"/>
  <c r="Y34" i="4"/>
  <c r="B41" i="9"/>
  <c r="B89" i="9"/>
  <c r="N76" i="20"/>
  <c r="O73" i="20" s="1"/>
  <c r="L23" i="4"/>
  <c r="L29" i="4" s="1"/>
  <c r="AK7" i="10"/>
  <c r="M17" i="4"/>
  <c r="M18" i="10"/>
  <c r="J32" i="4"/>
  <c r="AM7" i="14"/>
  <c r="O18" i="14"/>
  <c r="O19" i="14" s="1"/>
  <c r="O31" i="14" s="1"/>
  <c r="P16" i="11"/>
  <c r="Q5" i="11"/>
  <c r="P23" i="11"/>
  <c r="AN8" i="11" s="1"/>
  <c r="W92" i="13"/>
  <c r="T22" i="14"/>
  <c r="AK8" i="10"/>
  <c r="M24" i="4"/>
  <c r="AK6" i="4" s="1"/>
  <c r="D37" i="9" l="1"/>
  <c r="D37" i="10"/>
  <c r="D37" i="11"/>
  <c r="D37" i="14"/>
  <c r="D37" i="12"/>
  <c r="D37" i="13"/>
  <c r="D40" i="4"/>
  <c r="O35" i="14"/>
  <c r="O54" i="14"/>
  <c r="B44" i="14"/>
  <c r="N35" i="11"/>
  <c r="N54" i="11"/>
  <c r="M19" i="10"/>
  <c r="C94" i="14"/>
  <c r="C97" i="14"/>
  <c r="C61" i="14" s="1"/>
  <c r="C92" i="14"/>
  <c r="B86" i="14"/>
  <c r="L35" i="10"/>
  <c r="L54" i="10"/>
  <c r="L31" i="12"/>
  <c r="B93" i="13"/>
  <c r="P23" i="9"/>
  <c r="AN8" i="9" s="1"/>
  <c r="Q5" i="9"/>
  <c r="P5" i="10"/>
  <c r="P16" i="9"/>
  <c r="M28" i="9"/>
  <c r="N22" i="9"/>
  <c r="M18" i="9"/>
  <c r="M19" i="9" s="1"/>
  <c r="B44" i="12"/>
  <c r="N91" i="9"/>
  <c r="O110" i="20" s="1"/>
  <c r="O104" i="20"/>
  <c r="O105" i="20" s="1"/>
  <c r="P103" i="20" s="1"/>
  <c r="B42" i="14"/>
  <c r="C100" i="10"/>
  <c r="C95" i="10"/>
  <c r="C97" i="10"/>
  <c r="C103" i="9"/>
  <c r="C61" i="9" s="1"/>
  <c r="C100" i="9"/>
  <c r="C98" i="9"/>
  <c r="E12" i="22"/>
  <c r="D73" i="22"/>
  <c r="P82" i="20"/>
  <c r="Q79" i="20" s="1"/>
  <c r="R5" i="11"/>
  <c r="Q16" i="11"/>
  <c r="Q23" i="11"/>
  <c r="AO8" i="11" s="1"/>
  <c r="J8" i="22"/>
  <c r="K10" i="5"/>
  <c r="J36" i="4"/>
  <c r="B42" i="9"/>
  <c r="F33" i="22"/>
  <c r="F34" i="22"/>
  <c r="F37" i="22" s="1"/>
  <c r="N54" i="14"/>
  <c r="N35" i="14"/>
  <c r="B92" i="12"/>
  <c r="C95" i="11"/>
  <c r="C100" i="11"/>
  <c r="C61" i="11" s="1"/>
  <c r="C97" i="11"/>
  <c r="U22" i="14"/>
  <c r="AN7" i="11"/>
  <c r="AN9" i="11" s="1"/>
  <c r="M28" i="12"/>
  <c r="N22" i="12"/>
  <c r="M18" i="12"/>
  <c r="M19" i="12" s="1"/>
  <c r="M31" i="12" s="1"/>
  <c r="L31" i="13"/>
  <c r="L81" i="13"/>
  <c r="L83" i="13" s="1"/>
  <c r="B12" i="8"/>
  <c r="K35" i="12"/>
  <c r="K54" i="12"/>
  <c r="C100" i="12"/>
  <c r="C103" i="12"/>
  <c r="C61" i="12" s="1"/>
  <c r="C98" i="12"/>
  <c r="B89" i="11"/>
  <c r="C44" i="11"/>
  <c r="R25" i="10"/>
  <c r="Q26" i="4"/>
  <c r="Q24" i="11"/>
  <c r="P25" i="4"/>
  <c r="AN7" i="14"/>
  <c r="P18" i="14"/>
  <c r="P19" i="14" s="1"/>
  <c r="P31" i="14" s="1"/>
  <c r="Q5" i="12"/>
  <c r="P23" i="12"/>
  <c r="AN8" i="12" s="1"/>
  <c r="P16" i="12"/>
  <c r="C42" i="11"/>
  <c r="C43" i="4"/>
  <c r="C45" i="4" s="1"/>
  <c r="C62" i="2" s="1"/>
  <c r="R5" i="14"/>
  <c r="Q16" i="14"/>
  <c r="Q23" i="14"/>
  <c r="AL7" i="10"/>
  <c r="N17" i="4"/>
  <c r="N18" i="10"/>
  <c r="B42" i="4"/>
  <c r="N22" i="13"/>
  <c r="M28" i="13"/>
  <c r="M18" i="13"/>
  <c r="M19" i="13" s="1"/>
  <c r="Q16" i="13"/>
  <c r="Q23" i="13"/>
  <c r="AO8" i="13" s="1"/>
  <c r="R5" i="13"/>
  <c r="AL8" i="10"/>
  <c r="N24" i="4"/>
  <c r="AL6" i="4" s="1"/>
  <c r="O22" i="10"/>
  <c r="N28" i="10"/>
  <c r="N23" i="4"/>
  <c r="N29" i="4" s="1"/>
  <c r="AN8" i="14"/>
  <c r="P28" i="14"/>
  <c r="AK5" i="4"/>
  <c r="O76" i="20"/>
  <c r="P73" i="20" s="1"/>
  <c r="B42" i="13"/>
  <c r="AM7" i="9"/>
  <c r="AM9" i="9" s="1"/>
  <c r="B86" i="10"/>
  <c r="B41" i="10"/>
  <c r="B42" i="10" s="1"/>
  <c r="AN7" i="13"/>
  <c r="AN9" i="13" s="1"/>
  <c r="Q5" i="20"/>
  <c r="P80" i="20"/>
  <c r="P81" i="20" s="1"/>
  <c r="O88" i="11" s="1"/>
  <c r="P68" i="20"/>
  <c r="P69" i="20" s="1"/>
  <c r="P74" i="20"/>
  <c r="P75" i="20" s="1"/>
  <c r="O88" i="10" s="1"/>
  <c r="G36" i="20"/>
  <c r="G38" i="20" s="1"/>
  <c r="E76" i="12"/>
  <c r="R88" i="20"/>
  <c r="S85" i="20" s="1"/>
  <c r="S88" i="20" s="1"/>
  <c r="T85" i="20" s="1"/>
  <c r="T88" i="20" s="1"/>
  <c r="U85" i="20" s="1"/>
  <c r="U88" i="20" s="1"/>
  <c r="V85" i="20" s="1"/>
  <c r="V88" i="20" s="1"/>
  <c r="AM7" i="12"/>
  <c r="AM9" i="12" s="1"/>
  <c r="O28" i="11"/>
  <c r="O31" i="11" s="1"/>
  <c r="P22" i="11"/>
  <c r="P18" i="11" s="1"/>
  <c r="P19" i="11" s="1"/>
  <c r="K35" i="13"/>
  <c r="K54" i="13"/>
  <c r="E76" i="9"/>
  <c r="G12" i="20"/>
  <c r="G14" i="20" s="1"/>
  <c r="N109" i="20"/>
  <c r="M14" i="8"/>
  <c r="AM9" i="14"/>
  <c r="AK9" i="10"/>
  <c r="B92" i="9"/>
  <c r="O23" i="10"/>
  <c r="O16" i="10"/>
  <c r="L31" i="9"/>
  <c r="O70" i="20"/>
  <c r="P67" i="20" s="1"/>
  <c r="P70" i="20" s="1"/>
  <c r="Q67" i="20" s="1"/>
  <c r="L19" i="4"/>
  <c r="L20" i="4" s="1"/>
  <c r="D76" i="22"/>
  <c r="N110" i="20"/>
  <c r="E60" i="22"/>
  <c r="E61" i="22"/>
  <c r="E64" i="22" s="1"/>
  <c r="P31" i="11" l="1"/>
  <c r="O54" i="11"/>
  <c r="O35" i="11"/>
  <c r="P54" i="14"/>
  <c r="P35" i="14"/>
  <c r="Q16" i="12"/>
  <c r="Q23" i="12"/>
  <c r="AO8" i="12" s="1"/>
  <c r="R5" i="12"/>
  <c r="Q5" i="10"/>
  <c r="Q23" i="9"/>
  <c r="AO8" i="9" s="1"/>
  <c r="R5" i="9"/>
  <c r="Q16" i="9"/>
  <c r="H36" i="20"/>
  <c r="H38" i="20" s="1"/>
  <c r="F76" i="12"/>
  <c r="B43" i="4"/>
  <c r="R23" i="13"/>
  <c r="AP8" i="13" s="1"/>
  <c r="S5" i="13"/>
  <c r="R16" i="13"/>
  <c r="M31" i="10"/>
  <c r="B44" i="10"/>
  <c r="L54" i="9"/>
  <c r="L35" i="9"/>
  <c r="AO7" i="13"/>
  <c r="AO9" i="13" s="1"/>
  <c r="O22" i="12"/>
  <c r="N28" i="12"/>
  <c r="N18" i="12"/>
  <c r="N19" i="12" s="1"/>
  <c r="D79" i="9"/>
  <c r="D78" i="10"/>
  <c r="D79" i="12"/>
  <c r="D78" i="11"/>
  <c r="M19" i="4"/>
  <c r="M20" i="4" s="1"/>
  <c r="M32" i="4" s="1"/>
  <c r="D39" i="13"/>
  <c r="B89" i="10"/>
  <c r="M31" i="13"/>
  <c r="M81" i="13"/>
  <c r="M83" i="13" s="1"/>
  <c r="O22" i="9"/>
  <c r="N28" i="9"/>
  <c r="N18" i="9"/>
  <c r="N19" i="9" s="1"/>
  <c r="N31" i="9" s="1"/>
  <c r="D39" i="12"/>
  <c r="AM8" i="10"/>
  <c r="O24" i="4"/>
  <c r="AM6" i="4" s="1"/>
  <c r="AL9" i="10"/>
  <c r="AN9" i="14"/>
  <c r="O22" i="13"/>
  <c r="N28" i="13"/>
  <c r="N18" i="13"/>
  <c r="N19" i="13" s="1"/>
  <c r="AN7" i="12"/>
  <c r="AN9" i="12" s="1"/>
  <c r="F40" i="22"/>
  <c r="F41" i="22"/>
  <c r="F44" i="22" s="1"/>
  <c r="AO7" i="11"/>
  <c r="AO9" i="11" s="1"/>
  <c r="Q18" i="11"/>
  <c r="Q19" i="11" s="1"/>
  <c r="AN7" i="9"/>
  <c r="AN9" i="9" s="1"/>
  <c r="B44" i="13"/>
  <c r="D39" i="11"/>
  <c r="E67" i="22"/>
  <c r="E68" i="22"/>
  <c r="AO7" i="14"/>
  <c r="AO9" i="14" s="1"/>
  <c r="Q19" i="14"/>
  <c r="Q31" i="14" s="1"/>
  <c r="Q18" i="14"/>
  <c r="O109" i="20"/>
  <c r="O111" i="20" s="1"/>
  <c r="N14" i="8"/>
  <c r="D39" i="9"/>
  <c r="R16" i="14"/>
  <c r="S5" i="14"/>
  <c r="R23" i="14"/>
  <c r="S25" i="10"/>
  <c r="R26" i="4"/>
  <c r="L35" i="13"/>
  <c r="L54" i="13"/>
  <c r="B95" i="12"/>
  <c r="D12" i="8"/>
  <c r="P28" i="11"/>
  <c r="Q22" i="11"/>
  <c r="M54" i="12"/>
  <c r="M35" i="12"/>
  <c r="W22" i="14"/>
  <c r="C61" i="10"/>
  <c r="C8" i="8"/>
  <c r="B89" i="14"/>
  <c r="O91" i="9"/>
  <c r="P110" i="20" s="1"/>
  <c r="P104" i="20"/>
  <c r="P76" i="20"/>
  <c r="Q73" i="20" s="1"/>
  <c r="Q76" i="20" s="1"/>
  <c r="R73" i="20" s="1"/>
  <c r="N19" i="10"/>
  <c r="N31" i="10" s="1"/>
  <c r="M31" i="9"/>
  <c r="B96" i="13"/>
  <c r="AM7" i="10"/>
  <c r="O17" i="4"/>
  <c r="O18" i="10"/>
  <c r="O19" i="10"/>
  <c r="O28" i="10"/>
  <c r="P22" i="10"/>
  <c r="O23" i="4"/>
  <c r="O29" i="4" s="1"/>
  <c r="AL5" i="4"/>
  <c r="B92" i="11"/>
  <c r="E13" i="22"/>
  <c r="E14" i="22"/>
  <c r="E17" i="22" s="1"/>
  <c r="E72" i="22"/>
  <c r="E15" i="5"/>
  <c r="D77" i="22"/>
  <c r="N111" i="20"/>
  <c r="Q68" i="20"/>
  <c r="Q69" i="20" s="1"/>
  <c r="Q74" i="20"/>
  <c r="Q75" i="20" s="1"/>
  <c r="P88" i="10" s="1"/>
  <c r="Q80" i="20"/>
  <c r="Q81" i="20" s="1"/>
  <c r="P88" i="11" s="1"/>
  <c r="R5" i="20"/>
  <c r="B45" i="4"/>
  <c r="B44" i="9"/>
  <c r="L54" i="12"/>
  <c r="L35" i="12"/>
  <c r="D39" i="14"/>
  <c r="B95" i="9"/>
  <c r="F76" i="9"/>
  <c r="H12" i="20"/>
  <c r="H14" i="20" s="1"/>
  <c r="L32" i="4"/>
  <c r="AO8" i="14"/>
  <c r="Q28" i="14"/>
  <c r="R24" i="11"/>
  <c r="Q25" i="4"/>
  <c r="R16" i="11"/>
  <c r="S5" i="11"/>
  <c r="R23" i="11"/>
  <c r="P23" i="10"/>
  <c r="P16" i="10"/>
  <c r="D39" i="10"/>
  <c r="B62" i="2" l="1"/>
  <c r="B104" i="13"/>
  <c r="B99" i="13"/>
  <c r="B101" i="13"/>
  <c r="T25" i="10"/>
  <c r="S26" i="4"/>
  <c r="O28" i="12"/>
  <c r="P22" i="12"/>
  <c r="O18" i="12"/>
  <c r="O19" i="12" s="1"/>
  <c r="O31" i="12" s="1"/>
  <c r="M54" i="10"/>
  <c r="M35" i="10"/>
  <c r="Q22" i="10"/>
  <c r="P28" i="10"/>
  <c r="F52" i="22"/>
  <c r="AN7" i="10"/>
  <c r="AN9" i="10" s="1"/>
  <c r="P17" i="4"/>
  <c r="P18" i="10"/>
  <c r="P19" i="10" s="1"/>
  <c r="P31" i="10" s="1"/>
  <c r="S16" i="14"/>
  <c r="T5" i="14"/>
  <c r="S23" i="14"/>
  <c r="R16" i="9"/>
  <c r="R23" i="9"/>
  <c r="AP8" i="9" s="1"/>
  <c r="S5" i="9"/>
  <c r="R5" i="10"/>
  <c r="P91" i="9"/>
  <c r="Q104" i="20"/>
  <c r="O31" i="10"/>
  <c r="B94" i="14"/>
  <c r="B97" i="14"/>
  <c r="B92" i="14"/>
  <c r="B95" i="14" s="1"/>
  <c r="C91" i="14" s="1"/>
  <c r="C95" i="14" s="1"/>
  <c r="D91" i="14" s="1"/>
  <c r="B100" i="12"/>
  <c r="B103" i="12"/>
  <c r="B98" i="12"/>
  <c r="B101" i="12" s="1"/>
  <c r="C97" i="12" s="1"/>
  <c r="C101" i="12" s="1"/>
  <c r="D97" i="12" s="1"/>
  <c r="D41" i="11"/>
  <c r="D42" i="11" s="1"/>
  <c r="D86" i="11"/>
  <c r="B92" i="10"/>
  <c r="Q23" i="10"/>
  <c r="Q16" i="10"/>
  <c r="P35" i="11"/>
  <c r="P54" i="11"/>
  <c r="N35" i="10"/>
  <c r="N54" i="10"/>
  <c r="Q35" i="14"/>
  <c r="Q54" i="14"/>
  <c r="S5" i="20"/>
  <c r="T5" i="20" s="1"/>
  <c r="U5" i="20" s="1"/>
  <c r="V5" i="20" s="1"/>
  <c r="R68" i="20"/>
  <c r="R69" i="20" s="1"/>
  <c r="R80" i="20"/>
  <c r="R81" i="20" s="1"/>
  <c r="Q88" i="11" s="1"/>
  <c r="W88" i="11" s="1"/>
  <c r="R74" i="20"/>
  <c r="R75" i="20" s="1"/>
  <c r="Q88" i="10" s="1"/>
  <c r="W88" i="10" s="1"/>
  <c r="R76" i="20"/>
  <c r="S73" i="20" s="1"/>
  <c r="S76" i="20" s="1"/>
  <c r="T73" i="20" s="1"/>
  <c r="T76" i="20" s="1"/>
  <c r="U73" i="20" s="1"/>
  <c r="U76" i="20" s="1"/>
  <c r="V73" i="20" s="1"/>
  <c r="V76" i="20" s="1"/>
  <c r="D41" i="9"/>
  <c r="D89" i="9"/>
  <c r="D42" i="9"/>
  <c r="B98" i="9"/>
  <c r="B100" i="9"/>
  <c r="B103" i="9"/>
  <c r="O14" i="8"/>
  <c r="P109" i="20"/>
  <c r="P111" i="20" s="1"/>
  <c r="AP8" i="14"/>
  <c r="R28" i="14"/>
  <c r="AP7" i="13"/>
  <c r="AP9" i="13" s="1"/>
  <c r="N81" i="13"/>
  <c r="N83" i="13" s="1"/>
  <c r="N31" i="13"/>
  <c r="M35" i="13"/>
  <c r="M54" i="13"/>
  <c r="S23" i="13"/>
  <c r="AQ8" i="13" s="1"/>
  <c r="S16" i="13"/>
  <c r="T5" i="13"/>
  <c r="Q70" i="20"/>
  <c r="R67" i="20" s="1"/>
  <c r="AP8" i="11"/>
  <c r="M10" i="5"/>
  <c r="L8" i="22"/>
  <c r="L36" i="4"/>
  <c r="B95" i="11"/>
  <c r="B100" i="11"/>
  <c r="B97" i="11"/>
  <c r="AM5" i="4"/>
  <c r="D19" i="5"/>
  <c r="C15" i="8"/>
  <c r="C16" i="8" s="1"/>
  <c r="C19" i="8" s="1"/>
  <c r="R22" i="11"/>
  <c r="R18" i="11" s="1"/>
  <c r="R19" i="11" s="1"/>
  <c r="Q28" i="11"/>
  <c r="Q31" i="11" s="1"/>
  <c r="F47" i="22"/>
  <c r="F48" i="22"/>
  <c r="G32" i="22" s="1"/>
  <c r="D41" i="13"/>
  <c r="D76" i="13"/>
  <c r="D78" i="13" s="1"/>
  <c r="D85" i="13" s="1"/>
  <c r="D90" i="13"/>
  <c r="N19" i="4"/>
  <c r="N20" i="4" s="1"/>
  <c r="N32" i="4" s="1"/>
  <c r="AP7" i="11"/>
  <c r="E17" i="5"/>
  <c r="N10" i="5"/>
  <c r="M8" i="22"/>
  <c r="M36" i="4"/>
  <c r="I36" i="20"/>
  <c r="I38" i="20" s="1"/>
  <c r="G76" i="12"/>
  <c r="AO7" i="12"/>
  <c r="AO9" i="12" s="1"/>
  <c r="R25" i="4"/>
  <c r="S24" i="11"/>
  <c r="E20" i="22"/>
  <c r="E21" i="22"/>
  <c r="E24" i="22" s="1"/>
  <c r="AO7" i="9"/>
  <c r="AO9" i="9" s="1"/>
  <c r="M54" i="9"/>
  <c r="M35" i="9"/>
  <c r="Q82" i="20"/>
  <c r="R79" i="20" s="1"/>
  <c r="R82" i="20" s="1"/>
  <c r="S79" i="20" s="1"/>
  <c r="S82" i="20" s="1"/>
  <c r="T79" i="20" s="1"/>
  <c r="T82" i="20" s="1"/>
  <c r="U79" i="20" s="1"/>
  <c r="U82" i="20" s="1"/>
  <c r="V79" i="20" s="1"/>
  <c r="V82" i="20" s="1"/>
  <c r="AN8" i="10"/>
  <c r="P24" i="4"/>
  <c r="AN6" i="4" s="1"/>
  <c r="D41" i="14"/>
  <c r="D83" i="14"/>
  <c r="D42" i="14"/>
  <c r="D44" i="14" s="1"/>
  <c r="AP7" i="14"/>
  <c r="AP9" i="14" s="1"/>
  <c r="R18" i="14"/>
  <c r="R19" i="14"/>
  <c r="R31" i="14" s="1"/>
  <c r="D41" i="12"/>
  <c r="D89" i="12"/>
  <c r="P105" i="20"/>
  <c r="Q103" i="20" s="1"/>
  <c r="Q105" i="20" s="1"/>
  <c r="R103" i="20" s="1"/>
  <c r="D41" i="10"/>
  <c r="D42" i="10" s="1"/>
  <c r="D86" i="10"/>
  <c r="P22" i="13"/>
  <c r="O28" i="13"/>
  <c r="O18" i="13"/>
  <c r="O19" i="13" s="1"/>
  <c r="N35" i="9"/>
  <c r="N54" i="9"/>
  <c r="S23" i="11"/>
  <c r="T5" i="11"/>
  <c r="S16" i="11"/>
  <c r="G76" i="9"/>
  <c r="I12" i="20"/>
  <c r="I14" i="20" s="1"/>
  <c r="D57" i="9"/>
  <c r="D57" i="10"/>
  <c r="D79" i="22"/>
  <c r="D57" i="12"/>
  <c r="D57" i="13"/>
  <c r="D57" i="14"/>
  <c r="D57" i="11"/>
  <c r="AM9" i="10"/>
  <c r="P22" i="9"/>
  <c r="O28" i="9"/>
  <c r="O18" i="9"/>
  <c r="O19" i="9" s="1"/>
  <c r="O31" i="9" s="1"/>
  <c r="N31" i="12"/>
  <c r="R23" i="12"/>
  <c r="AP8" i="12" s="1"/>
  <c r="S5" i="12"/>
  <c r="R16" i="12"/>
  <c r="Q35" i="11" l="1"/>
  <c r="Q54" i="11"/>
  <c r="D44" i="11"/>
  <c r="D44" i="12"/>
  <c r="P35" i="10"/>
  <c r="P54" i="10"/>
  <c r="H76" i="9"/>
  <c r="J12" i="20"/>
  <c r="J14" i="20" s="1"/>
  <c r="N8" i="22"/>
  <c r="N36" i="4"/>
  <c r="O10" i="5"/>
  <c r="D59" i="13"/>
  <c r="Q22" i="13"/>
  <c r="Q23" i="4" s="1"/>
  <c r="Q29" i="4" s="1"/>
  <c r="P28" i="13"/>
  <c r="P18" i="13"/>
  <c r="P19" i="13" s="1"/>
  <c r="G34" i="22"/>
  <c r="G37" i="22" s="1"/>
  <c r="G33" i="22"/>
  <c r="B101" i="9"/>
  <c r="C97" i="9" s="1"/>
  <c r="C101" i="9" s="1"/>
  <c r="D97" i="9" s="1"/>
  <c r="AP7" i="9"/>
  <c r="AP9" i="9" s="1"/>
  <c r="O35" i="9"/>
  <c r="O54" i="9"/>
  <c r="AQ8" i="14"/>
  <c r="S28" i="14"/>
  <c r="B106" i="13"/>
  <c r="D63" i="2"/>
  <c r="O54" i="12"/>
  <c r="O35" i="12"/>
  <c r="P28" i="9"/>
  <c r="Q22" i="9"/>
  <c r="P18" i="9"/>
  <c r="P19" i="9" s="1"/>
  <c r="P31" i="9" s="1"/>
  <c r="D59" i="10"/>
  <c r="AQ8" i="11"/>
  <c r="D92" i="12"/>
  <c r="D93" i="13"/>
  <c r="B61" i="11"/>
  <c r="AO7" i="10"/>
  <c r="AO9" i="10" s="1"/>
  <c r="Q17" i="4"/>
  <c r="Q18" i="10"/>
  <c r="Q19" i="10"/>
  <c r="Q31" i="10" s="1"/>
  <c r="Q109" i="20"/>
  <c r="P14" i="8"/>
  <c r="AQ7" i="14"/>
  <c r="S18" i="14"/>
  <c r="S19" i="14" s="1"/>
  <c r="S31" i="14" s="1"/>
  <c r="Q22" i="12"/>
  <c r="P28" i="12"/>
  <c r="P18" i="12"/>
  <c r="P19" i="12" s="1"/>
  <c r="P31" i="12" s="1"/>
  <c r="D59" i="14"/>
  <c r="R35" i="14"/>
  <c r="R54" i="14"/>
  <c r="N35" i="12"/>
  <c r="N54" i="12"/>
  <c r="AP7" i="12"/>
  <c r="AP9" i="12" s="1"/>
  <c r="D59" i="12"/>
  <c r="R105" i="20"/>
  <c r="S103" i="20" s="1"/>
  <c r="S105" i="20" s="1"/>
  <c r="T103" i="20" s="1"/>
  <c r="T105" i="20" s="1"/>
  <c r="U103" i="20" s="1"/>
  <c r="U105" i="20" s="1"/>
  <c r="V103" i="20" s="1"/>
  <c r="V105" i="20" s="1"/>
  <c r="D89" i="11"/>
  <c r="S16" i="12"/>
  <c r="S23" i="12"/>
  <c r="AQ8" i="12" s="1"/>
  <c r="T5" i="12"/>
  <c r="D85" i="22"/>
  <c r="E48" i="2" s="1"/>
  <c r="D84" i="22"/>
  <c r="D48" i="2" s="1"/>
  <c r="T23" i="11"/>
  <c r="AR8" i="11" s="1"/>
  <c r="T16" i="11"/>
  <c r="U5" i="11"/>
  <c r="Q91" i="9"/>
  <c r="R110" i="20" s="1"/>
  <c r="R104" i="20"/>
  <c r="O35" i="10"/>
  <c r="O54" i="10"/>
  <c r="T16" i="14"/>
  <c r="U5" i="14"/>
  <c r="T23" i="14"/>
  <c r="F54" i="22"/>
  <c r="F57" i="22" s="1"/>
  <c r="F53" i="22"/>
  <c r="D59" i="9"/>
  <c r="B98" i="11"/>
  <c r="C94" i="11" s="1"/>
  <c r="C98" i="11" s="1"/>
  <c r="D94" i="11" s="1"/>
  <c r="O19" i="4"/>
  <c r="O20" i="4" s="1"/>
  <c r="O32" i="4" s="1"/>
  <c r="D44" i="9"/>
  <c r="AO8" i="10"/>
  <c r="Q24" i="4"/>
  <c r="AO6" i="4" s="1"/>
  <c r="Q110" i="20"/>
  <c r="W91" i="9"/>
  <c r="X14" i="8" s="1"/>
  <c r="P23" i="4"/>
  <c r="P29" i="4" s="1"/>
  <c r="S25" i="4"/>
  <c r="T24" i="11"/>
  <c r="D42" i="4"/>
  <c r="T23" i="13"/>
  <c r="AR8" i="13" s="1"/>
  <c r="U5" i="13"/>
  <c r="T16" i="13"/>
  <c r="B61" i="14"/>
  <c r="B102" i="13"/>
  <c r="C98" i="13" s="1"/>
  <c r="C102" i="13" s="1"/>
  <c r="D98" i="13" s="1"/>
  <c r="AQ7" i="11"/>
  <c r="AQ9" i="11" s="1"/>
  <c r="AQ7" i="13"/>
  <c r="AQ9" i="13" s="1"/>
  <c r="D44" i="10"/>
  <c r="D86" i="14"/>
  <c r="E27" i="22"/>
  <c r="E28" i="22"/>
  <c r="J36" i="20"/>
  <c r="J38" i="20" s="1"/>
  <c r="H76" i="12"/>
  <c r="AP9" i="11"/>
  <c r="D42" i="13"/>
  <c r="S22" i="11"/>
  <c r="R28" i="11"/>
  <c r="R31" i="11" s="1"/>
  <c r="R70" i="20"/>
  <c r="S67" i="20" s="1"/>
  <c r="S70" i="20" s="1"/>
  <c r="T67" i="20" s="1"/>
  <c r="T70" i="20" s="1"/>
  <c r="U67" i="20" s="1"/>
  <c r="U70" i="20" s="1"/>
  <c r="V67" i="20" s="1"/>
  <c r="V70" i="20" s="1"/>
  <c r="N35" i="13"/>
  <c r="N54" i="13"/>
  <c r="D92" i="9"/>
  <c r="B61" i="12"/>
  <c r="R23" i="10"/>
  <c r="R16" i="10"/>
  <c r="D59" i="11"/>
  <c r="O81" i="13"/>
  <c r="O83" i="13" s="1"/>
  <c r="O31" i="13"/>
  <c r="D89" i="10"/>
  <c r="D42" i="12"/>
  <c r="D44" i="13"/>
  <c r="C22" i="8"/>
  <c r="C24" i="8"/>
  <c r="B61" i="9"/>
  <c r="B97" i="10"/>
  <c r="B100" i="10"/>
  <c r="B95" i="10"/>
  <c r="B98" i="10" s="1"/>
  <c r="C94" i="10" s="1"/>
  <c r="C98" i="10" s="1"/>
  <c r="D94" i="10" s="1"/>
  <c r="S23" i="9"/>
  <c r="AQ8" i="9" s="1"/>
  <c r="T5" i="9"/>
  <c r="S16" i="9"/>
  <c r="S5" i="10"/>
  <c r="AN5" i="4"/>
  <c r="R22" i="10"/>
  <c r="Q28" i="10"/>
  <c r="U25" i="10"/>
  <c r="T26" i="4"/>
  <c r="R54" i="11" l="1"/>
  <c r="R35" i="11"/>
  <c r="S54" i="14"/>
  <c r="S35" i="14"/>
  <c r="E76" i="22"/>
  <c r="E91" i="22"/>
  <c r="E38" i="4" s="1"/>
  <c r="R109" i="20"/>
  <c r="R111" i="20" s="1"/>
  <c r="Q14" i="8"/>
  <c r="W14" i="8" s="1"/>
  <c r="Y14" i="8" s="1"/>
  <c r="T22" i="11"/>
  <c r="S28" i="11"/>
  <c r="S18" i="11"/>
  <c r="S19" i="11" s="1"/>
  <c r="S31" i="11" s="1"/>
  <c r="F60" i="22"/>
  <c r="F61" i="22"/>
  <c r="F64" i="22" s="1"/>
  <c r="P35" i="12"/>
  <c r="P54" i="12"/>
  <c r="Q54" i="10"/>
  <c r="Q35" i="10"/>
  <c r="P35" i="9"/>
  <c r="P54" i="9"/>
  <c r="B61" i="13"/>
  <c r="G41" i="22"/>
  <c r="G44" i="22" s="1"/>
  <c r="G40" i="22"/>
  <c r="U26" i="4"/>
  <c r="W26" i="4" s="1"/>
  <c r="W25" i="10"/>
  <c r="X26" i="4" s="1"/>
  <c r="U5" i="9"/>
  <c r="T16" i="9"/>
  <c r="T23" i="9"/>
  <c r="AR8" i="9" s="1"/>
  <c r="T5" i="10"/>
  <c r="D43" i="4"/>
  <c r="AR8" i="14"/>
  <c r="T28" i="14"/>
  <c r="AQ7" i="12"/>
  <c r="AQ9" i="12" s="1"/>
  <c r="D96" i="13"/>
  <c r="R22" i="9"/>
  <c r="Q28" i="9"/>
  <c r="Q18" i="9"/>
  <c r="Q19" i="9" s="1"/>
  <c r="Q31" i="9" s="1"/>
  <c r="U23" i="14"/>
  <c r="U16" i="14"/>
  <c r="U23" i="11"/>
  <c r="U16" i="11"/>
  <c r="Q28" i="12"/>
  <c r="R22" i="12"/>
  <c r="Q18" i="12"/>
  <c r="Q19" i="12" s="1"/>
  <c r="Q31" i="12" s="1"/>
  <c r="AO5" i="4"/>
  <c r="P81" i="13"/>
  <c r="P83" i="13" s="1"/>
  <c r="P31" i="13"/>
  <c r="I76" i="9"/>
  <c r="K12" i="20"/>
  <c r="K14" i="20" s="1"/>
  <c r="U16" i="13"/>
  <c r="U23" i="13"/>
  <c r="Q111" i="20"/>
  <c r="AQ7" i="9"/>
  <c r="AQ9" i="9" s="1"/>
  <c r="D89" i="14"/>
  <c r="P19" i="4"/>
  <c r="P20" i="4" s="1"/>
  <c r="P32" i="4" s="1"/>
  <c r="D95" i="9"/>
  <c r="T25" i="4"/>
  <c r="U24" i="11"/>
  <c r="AR7" i="14"/>
  <c r="T18" i="14"/>
  <c r="T19" i="14"/>
  <c r="T31" i="14" s="1"/>
  <c r="AR7" i="11"/>
  <c r="AR9" i="11" s="1"/>
  <c r="O35" i="13"/>
  <c r="O54" i="13"/>
  <c r="O8" i="22"/>
  <c r="P10" i="5"/>
  <c r="O36" i="4"/>
  <c r="S23" i="10"/>
  <c r="S16" i="10"/>
  <c r="T23" i="12"/>
  <c r="AR8" i="12" s="1"/>
  <c r="T16" i="12"/>
  <c r="U5" i="12"/>
  <c r="R28" i="10"/>
  <c r="S22" i="10"/>
  <c r="B61" i="10"/>
  <c r="B8" i="8"/>
  <c r="C62" i="9"/>
  <c r="C64" i="9" s="1"/>
  <c r="C62" i="10"/>
  <c r="C64" i="10" s="1"/>
  <c r="C62" i="12"/>
  <c r="C64" i="12" s="1"/>
  <c r="C62" i="11"/>
  <c r="C64" i="11" s="1"/>
  <c r="D20" i="5"/>
  <c r="D22" i="5" s="1"/>
  <c r="C62" i="14"/>
  <c r="C64" i="14" s="1"/>
  <c r="C62" i="13"/>
  <c r="C64" i="13" s="1"/>
  <c r="AP7" i="10"/>
  <c r="AP9" i="10" s="1"/>
  <c r="R17" i="4"/>
  <c r="R18" i="10"/>
  <c r="R19" i="10" s="1"/>
  <c r="R31" i="10" s="1"/>
  <c r="I76" i="12"/>
  <c r="K36" i="20"/>
  <c r="K38" i="20" s="1"/>
  <c r="D95" i="12"/>
  <c r="Q28" i="13"/>
  <c r="R22" i="13"/>
  <c r="Q18" i="13"/>
  <c r="Q19" i="13" s="1"/>
  <c r="D92" i="10"/>
  <c r="AP8" i="10"/>
  <c r="R24" i="4"/>
  <c r="AP6" i="4" s="1"/>
  <c r="F12" i="22"/>
  <c r="E73" i="22"/>
  <c r="AR7" i="13"/>
  <c r="AR9" i="13" s="1"/>
  <c r="D92" i="11"/>
  <c r="AQ9" i="14"/>
  <c r="R35" i="10" l="1"/>
  <c r="R54" i="10"/>
  <c r="D97" i="10"/>
  <c r="D100" i="10"/>
  <c r="D95" i="10"/>
  <c r="D98" i="12"/>
  <c r="D100" i="12"/>
  <c r="D103" i="12"/>
  <c r="AQ8" i="10"/>
  <c r="S24" i="4"/>
  <c r="AQ6" i="4" s="1"/>
  <c r="Q54" i="12"/>
  <c r="Q35" i="12"/>
  <c r="D99" i="13"/>
  <c r="D104" i="13"/>
  <c r="D101" i="13"/>
  <c r="U23" i="9"/>
  <c r="U5" i="10"/>
  <c r="U16" i="9"/>
  <c r="T28" i="11"/>
  <c r="U22" i="11"/>
  <c r="T35" i="14"/>
  <c r="T54" i="14"/>
  <c r="AS7" i="13"/>
  <c r="W16" i="13"/>
  <c r="S22" i="12"/>
  <c r="R28" i="12"/>
  <c r="R18" i="12"/>
  <c r="R19" i="12" s="1"/>
  <c r="R31" i="12" s="1"/>
  <c r="Q19" i="4"/>
  <c r="Q20" i="4" s="1"/>
  <c r="Q32" i="4" s="1"/>
  <c r="F15" i="5"/>
  <c r="E77" i="22"/>
  <c r="E79" i="9"/>
  <c r="E78" i="10"/>
  <c r="E79" i="12"/>
  <c r="E78" i="11"/>
  <c r="J76" i="9"/>
  <c r="L12" i="20"/>
  <c r="L14" i="20" s="1"/>
  <c r="Y26" i="4"/>
  <c r="D97" i="11"/>
  <c r="D100" i="11"/>
  <c r="D95" i="11"/>
  <c r="F14" i="22"/>
  <c r="F17" i="22" s="1"/>
  <c r="F13" i="22"/>
  <c r="F72" i="22"/>
  <c r="Q81" i="13"/>
  <c r="Q83" i="13" s="1"/>
  <c r="Q31" i="13"/>
  <c r="AP5" i="4"/>
  <c r="U16" i="12"/>
  <c r="U23" i="12"/>
  <c r="AR9" i="14"/>
  <c r="AS7" i="11"/>
  <c r="U18" i="11"/>
  <c r="U19" i="11"/>
  <c r="W16" i="11"/>
  <c r="T22" i="10"/>
  <c r="S28" i="10"/>
  <c r="E37" i="9"/>
  <c r="E39" i="9" s="1"/>
  <c r="E37" i="10"/>
  <c r="E39" i="10" s="1"/>
  <c r="E37" i="12"/>
  <c r="E39" i="12" s="1"/>
  <c r="E37" i="13"/>
  <c r="E39" i="13" s="1"/>
  <c r="E37" i="11"/>
  <c r="E39" i="11" s="1"/>
  <c r="E37" i="14"/>
  <c r="E39" i="14" s="1"/>
  <c r="E40" i="4"/>
  <c r="C19" i="5"/>
  <c r="B15" i="8"/>
  <c r="AR7" i="12"/>
  <c r="AR9" i="12" s="1"/>
  <c r="U25" i="4"/>
  <c r="W25" i="4" s="1"/>
  <c r="W24" i="11"/>
  <c r="X25" i="4" s="1"/>
  <c r="D97" i="14"/>
  <c r="D92" i="14"/>
  <c r="D94" i="14"/>
  <c r="P35" i="13"/>
  <c r="P54" i="13"/>
  <c r="AS8" i="11"/>
  <c r="W23" i="11"/>
  <c r="Q54" i="9"/>
  <c r="Q35" i="9"/>
  <c r="F68" i="22"/>
  <c r="F67" i="22"/>
  <c r="AS7" i="14"/>
  <c r="U18" i="14"/>
  <c r="W18" i="14" s="1"/>
  <c r="U19" i="14"/>
  <c r="W16" i="14"/>
  <c r="T23" i="10"/>
  <c r="T16" i="10"/>
  <c r="Q10" i="5"/>
  <c r="P8" i="22"/>
  <c r="P36" i="4"/>
  <c r="AS8" i="13"/>
  <c r="W23" i="13"/>
  <c r="R28" i="13"/>
  <c r="S22" i="13"/>
  <c r="R18" i="13"/>
  <c r="R19" i="13" s="1"/>
  <c r="L36" i="20"/>
  <c r="L38" i="20" s="1"/>
  <c r="J76" i="12"/>
  <c r="AS8" i="14"/>
  <c r="W23" i="14"/>
  <c r="U28" i="14"/>
  <c r="W28" i="14" s="1"/>
  <c r="R28" i="9"/>
  <c r="S22" i="9"/>
  <c r="R18" i="9"/>
  <c r="R19" i="9" s="1"/>
  <c r="S35" i="11"/>
  <c r="S54" i="11"/>
  <c r="D30" i="5"/>
  <c r="D32" i="5" s="1"/>
  <c r="C64" i="2"/>
  <c r="R23" i="4"/>
  <c r="R29" i="4" s="1"/>
  <c r="AQ7" i="10"/>
  <c r="AQ9" i="10" s="1"/>
  <c r="S17" i="4"/>
  <c r="S18" i="10"/>
  <c r="T18" i="11"/>
  <c r="T19" i="11" s="1"/>
  <c r="D100" i="9"/>
  <c r="D98" i="9"/>
  <c r="D101" i="9" s="1"/>
  <c r="E97" i="9" s="1"/>
  <c r="D103" i="9"/>
  <c r="D45" i="4"/>
  <c r="AR7" i="9"/>
  <c r="AR9" i="9" s="1"/>
  <c r="G47" i="22"/>
  <c r="G48" i="22"/>
  <c r="H32" i="22" s="1"/>
  <c r="AQ5" i="4" l="1"/>
  <c r="AR8" i="10"/>
  <c r="T24" i="4"/>
  <c r="AR6" i="4" s="1"/>
  <c r="E41" i="13"/>
  <c r="E42" i="13"/>
  <c r="E76" i="13"/>
  <c r="E78" i="13" s="1"/>
  <c r="E85" i="13" s="1"/>
  <c r="E90" i="13"/>
  <c r="AS8" i="12"/>
  <c r="W23" i="12"/>
  <c r="D61" i="9"/>
  <c r="T31" i="11"/>
  <c r="S28" i="13"/>
  <c r="T22" i="13"/>
  <c r="S18" i="13"/>
  <c r="S19" i="13" s="1"/>
  <c r="AS9" i="14"/>
  <c r="Y7" i="14"/>
  <c r="S23" i="4"/>
  <c r="S29" i="4" s="1"/>
  <c r="W19" i="11"/>
  <c r="R35" i="12"/>
  <c r="R54" i="12"/>
  <c r="Y25" i="4"/>
  <c r="E12" i="8"/>
  <c r="W18" i="11"/>
  <c r="Q54" i="13"/>
  <c r="Q35" i="13"/>
  <c r="D106" i="13"/>
  <c r="D8" i="8" s="1"/>
  <c r="D101" i="12"/>
  <c r="E97" i="12" s="1"/>
  <c r="S19" i="4"/>
  <c r="S20" i="4" s="1"/>
  <c r="S32" i="4" s="1"/>
  <c r="R19" i="4"/>
  <c r="R20" i="4" s="1"/>
  <c r="R32" i="4" s="1"/>
  <c r="E83" i="14"/>
  <c r="E41" i="14"/>
  <c r="U22" i="10"/>
  <c r="T28" i="10"/>
  <c r="AS9" i="11"/>
  <c r="Y7" i="11"/>
  <c r="K76" i="9"/>
  <c r="M12" i="20"/>
  <c r="M14" i="20" s="1"/>
  <c r="S28" i="12"/>
  <c r="T22" i="12"/>
  <c r="S18" i="12"/>
  <c r="S19" i="12" s="1"/>
  <c r="D102" i="13"/>
  <c r="E98" i="13" s="1"/>
  <c r="D98" i="10"/>
  <c r="E94" i="10" s="1"/>
  <c r="S19" i="10"/>
  <c r="S31" i="10" s="1"/>
  <c r="AR7" i="10"/>
  <c r="AR9" i="10" s="1"/>
  <c r="T17" i="4"/>
  <c r="T18" i="10"/>
  <c r="E41" i="11"/>
  <c r="E86" i="11"/>
  <c r="E57" i="9"/>
  <c r="E57" i="10"/>
  <c r="E79" i="22"/>
  <c r="E57" i="12"/>
  <c r="E57" i="14"/>
  <c r="E57" i="13"/>
  <c r="E57" i="11"/>
  <c r="U28" i="11"/>
  <c r="W28" i="11" s="1"/>
  <c r="W22" i="11"/>
  <c r="D61" i="10"/>
  <c r="D62" i="2"/>
  <c r="F17" i="5"/>
  <c r="G52" i="22"/>
  <c r="B16" i="8"/>
  <c r="B19" i="8" s="1"/>
  <c r="E89" i="12"/>
  <c r="E41" i="12"/>
  <c r="E42" i="12"/>
  <c r="AS7" i="12"/>
  <c r="W16" i="12"/>
  <c r="F21" i="22"/>
  <c r="F24" i="22" s="1"/>
  <c r="F20" i="22"/>
  <c r="AS7" i="9"/>
  <c r="W16" i="9"/>
  <c r="R31" i="9"/>
  <c r="M36" i="20"/>
  <c r="M38" i="20" s="1"/>
  <c r="K76" i="12"/>
  <c r="U31" i="14"/>
  <c r="W19" i="14"/>
  <c r="D95" i="14"/>
  <c r="E91" i="14" s="1"/>
  <c r="E41" i="10"/>
  <c r="E86" i="10"/>
  <c r="D98" i="11"/>
  <c r="E94" i="11" s="1"/>
  <c r="AS9" i="13"/>
  <c r="Y7" i="13"/>
  <c r="U23" i="10"/>
  <c r="U16" i="10"/>
  <c r="H34" i="22"/>
  <c r="H37" i="22" s="1"/>
  <c r="H33" i="22"/>
  <c r="S28" i="9"/>
  <c r="T22" i="9"/>
  <c r="S18" i="9"/>
  <c r="S19" i="9" s="1"/>
  <c r="S31" i="9" s="1"/>
  <c r="R31" i="13"/>
  <c r="R81" i="13"/>
  <c r="R83" i="13" s="1"/>
  <c r="D61" i="14"/>
  <c r="E89" i="9"/>
  <c r="E41" i="9"/>
  <c r="D61" i="11"/>
  <c r="R10" i="5"/>
  <c r="Q8" i="22"/>
  <c r="Q36" i="4"/>
  <c r="AS8" i="9"/>
  <c r="W23" i="9"/>
  <c r="D61" i="12"/>
  <c r="T10" i="5" l="1"/>
  <c r="S8" i="22"/>
  <c r="S36" i="4"/>
  <c r="E19" i="5"/>
  <c r="D15" i="8"/>
  <c r="R35" i="13"/>
  <c r="R54" i="13"/>
  <c r="B22" i="8"/>
  <c r="B21" i="8"/>
  <c r="C21" i="8" s="1"/>
  <c r="B24" i="8"/>
  <c r="U28" i="10"/>
  <c r="W28" i="10" s="1"/>
  <c r="U23" i="4"/>
  <c r="W22" i="10"/>
  <c r="T35" i="11"/>
  <c r="T54" i="11"/>
  <c r="E59" i="11"/>
  <c r="E89" i="11"/>
  <c r="L76" i="9"/>
  <c r="N12" i="20"/>
  <c r="N14" i="20" s="1"/>
  <c r="G53" i="22"/>
  <c r="G54" i="22"/>
  <c r="G57" i="22" s="1"/>
  <c r="U35" i="14"/>
  <c r="U54" i="14"/>
  <c r="W31" i="14"/>
  <c r="E59" i="14"/>
  <c r="S35" i="10"/>
  <c r="S54" i="10"/>
  <c r="AS9" i="9"/>
  <c r="Y7" i="9"/>
  <c r="E59" i="12"/>
  <c r="E86" i="14"/>
  <c r="H40" i="22"/>
  <c r="H41" i="22"/>
  <c r="H44" i="22" s="1"/>
  <c r="E89" i="10"/>
  <c r="E42" i="14"/>
  <c r="S31" i="13"/>
  <c r="S81" i="13"/>
  <c r="S83" i="13" s="1"/>
  <c r="E92" i="9"/>
  <c r="AS8" i="10"/>
  <c r="U24" i="4"/>
  <c r="W23" i="10"/>
  <c r="X24" i="4" s="1"/>
  <c r="AR5" i="4"/>
  <c r="S35" i="9"/>
  <c r="S54" i="9"/>
  <c r="E44" i="13"/>
  <c r="U22" i="9"/>
  <c r="T28" i="9"/>
  <c r="T18" i="9"/>
  <c r="T19" i="9" s="1"/>
  <c r="T31" i="9" s="1"/>
  <c r="AS9" i="12"/>
  <c r="Y7" i="12"/>
  <c r="E59" i="13"/>
  <c r="D61" i="13"/>
  <c r="E42" i="4"/>
  <c r="E42" i="11"/>
  <c r="E44" i="11" s="1"/>
  <c r="E42" i="10"/>
  <c r="N36" i="20"/>
  <c r="N38" i="20" s="1"/>
  <c r="L76" i="12"/>
  <c r="F28" i="22"/>
  <c r="F27" i="22"/>
  <c r="E92" i="12"/>
  <c r="E63" i="2"/>
  <c r="E59" i="10"/>
  <c r="S31" i="12"/>
  <c r="T23" i="4"/>
  <c r="T29" i="4" s="1"/>
  <c r="R36" i="4"/>
  <c r="S10" i="5"/>
  <c r="R8" i="22"/>
  <c r="U22" i="13"/>
  <c r="T28" i="13"/>
  <c r="T18" i="13"/>
  <c r="T19" i="13" s="1"/>
  <c r="E93" i="13"/>
  <c r="E42" i="9"/>
  <c r="AS7" i="10"/>
  <c r="U17" i="4"/>
  <c r="U18" i="10"/>
  <c r="U19" i="10"/>
  <c r="W16" i="10"/>
  <c r="X17" i="4" s="1"/>
  <c r="E44" i="10"/>
  <c r="R54" i="9"/>
  <c r="R35" i="9"/>
  <c r="E44" i="12"/>
  <c r="E59" i="9"/>
  <c r="T19" i="10"/>
  <c r="T31" i="10" s="1"/>
  <c r="U22" i="12"/>
  <c r="T28" i="12"/>
  <c r="T18" i="12"/>
  <c r="T19" i="12" s="1"/>
  <c r="T31" i="12" s="1"/>
  <c r="U31" i="11"/>
  <c r="U35" i="11" l="1"/>
  <c r="U54" i="11"/>
  <c r="W31" i="11"/>
  <c r="AS6" i="4"/>
  <c r="W24" i="4"/>
  <c r="Y24" i="4" s="1"/>
  <c r="H47" i="22"/>
  <c r="H48" i="22"/>
  <c r="I32" i="22" s="1"/>
  <c r="M76" i="9"/>
  <c r="O12" i="20"/>
  <c r="O14" i="20" s="1"/>
  <c r="E95" i="12"/>
  <c r="X29" i="4"/>
  <c r="S35" i="12"/>
  <c r="S54" i="12"/>
  <c r="T54" i="9"/>
  <c r="T35" i="9"/>
  <c r="E95" i="9"/>
  <c r="E92" i="11"/>
  <c r="C20" i="5"/>
  <c r="B62" i="10"/>
  <c r="B62" i="12"/>
  <c r="B62" i="9"/>
  <c r="B62" i="11"/>
  <c r="B62" i="13"/>
  <c r="B62" i="14"/>
  <c r="T54" i="10"/>
  <c r="T35" i="10"/>
  <c r="U31" i="10"/>
  <c r="W19" i="10"/>
  <c r="T19" i="4"/>
  <c r="T20" i="4" s="1"/>
  <c r="T32" i="4" s="1"/>
  <c r="G12" i="22"/>
  <c r="F73" i="22"/>
  <c r="U19" i="4"/>
  <c r="W19" i="4" s="1"/>
  <c r="W18" i="10"/>
  <c r="U28" i="9"/>
  <c r="W28" i="9" s="1"/>
  <c r="W22" i="9"/>
  <c r="U18" i="9"/>
  <c r="S35" i="13"/>
  <c r="S54" i="13"/>
  <c r="E89" i="14"/>
  <c r="AS5" i="4"/>
  <c r="Y5" i="4" s="1"/>
  <c r="W17" i="4"/>
  <c r="Y17" i="4" s="1"/>
  <c r="U28" i="13"/>
  <c r="W28" i="13" s="1"/>
  <c r="W22" i="13"/>
  <c r="U18" i="13"/>
  <c r="O36" i="20"/>
  <c r="O38" i="20" s="1"/>
  <c r="M76" i="12"/>
  <c r="W54" i="14"/>
  <c r="E44" i="14"/>
  <c r="T35" i="12"/>
  <c r="T54" i="12"/>
  <c r="E44" i="9"/>
  <c r="U29" i="4"/>
  <c r="W29" i="4" s="1"/>
  <c r="W23" i="4"/>
  <c r="G61" i="22"/>
  <c r="G64" i="22" s="1"/>
  <c r="G60" i="22"/>
  <c r="U28" i="12"/>
  <c r="W28" i="12" s="1"/>
  <c r="W22" i="12"/>
  <c r="X23" i="4" s="1"/>
  <c r="U18" i="12"/>
  <c r="E96" i="13"/>
  <c r="F76" i="22"/>
  <c r="F91" i="22"/>
  <c r="F38" i="4" s="1"/>
  <c r="D16" i="8"/>
  <c r="D19" i="8" s="1"/>
  <c r="T31" i="13"/>
  <c r="T81" i="13"/>
  <c r="T83" i="13" s="1"/>
  <c r="E43" i="4"/>
  <c r="AS9" i="10"/>
  <c r="Y7" i="10"/>
  <c r="E92" i="10"/>
  <c r="W35" i="14"/>
  <c r="G68" i="22" l="1"/>
  <c r="G67" i="22"/>
  <c r="B64" i="9"/>
  <c r="U20" i="4"/>
  <c r="U35" i="10"/>
  <c r="U54" i="10"/>
  <c r="W31" i="10"/>
  <c r="P36" i="20"/>
  <c r="P38" i="20" s="1"/>
  <c r="N76" i="12"/>
  <c r="C22" i="5"/>
  <c r="W18" i="12"/>
  <c r="U19" i="12"/>
  <c r="Y23" i="4"/>
  <c r="W18" i="9"/>
  <c r="U19" i="9"/>
  <c r="B64" i="14"/>
  <c r="W54" i="11"/>
  <c r="T35" i="13"/>
  <c r="T54" i="13"/>
  <c r="Y29" i="4"/>
  <c r="W18" i="13"/>
  <c r="X19" i="4" s="1"/>
  <c r="Y19" i="4" s="1"/>
  <c r="U19" i="13"/>
  <c r="F79" i="9"/>
  <c r="F78" i="10"/>
  <c r="F79" i="12"/>
  <c r="F78" i="11"/>
  <c r="B64" i="13"/>
  <c r="E97" i="11"/>
  <c r="E100" i="11"/>
  <c r="E95" i="11"/>
  <c r="E98" i="11" s="1"/>
  <c r="F94" i="11" s="1"/>
  <c r="N76" i="9"/>
  <c r="P12" i="20"/>
  <c r="P14" i="20" s="1"/>
  <c r="W35" i="11"/>
  <c r="G13" i="22"/>
  <c r="G14" i="22"/>
  <c r="G17" i="22" s="1"/>
  <c r="G72" i="22"/>
  <c r="E98" i="12"/>
  <c r="E101" i="12" s="1"/>
  <c r="F97" i="12" s="1"/>
  <c r="E103" i="12"/>
  <c r="E100" i="12"/>
  <c r="F37" i="9"/>
  <c r="F39" i="9" s="1"/>
  <c r="F37" i="10"/>
  <c r="F39" i="10" s="1"/>
  <c r="F37" i="12"/>
  <c r="F39" i="12" s="1"/>
  <c r="F37" i="13"/>
  <c r="F39" i="13" s="1"/>
  <c r="F37" i="11"/>
  <c r="F39" i="11" s="1"/>
  <c r="F37" i="14"/>
  <c r="F39" i="14" s="1"/>
  <c r="F40" i="4"/>
  <c r="G15" i="5"/>
  <c r="G17" i="5" s="1"/>
  <c r="F77" i="22"/>
  <c r="E94" i="14"/>
  <c r="E97" i="14" s="1"/>
  <c r="E92" i="14"/>
  <c r="E95" i="14" s="1"/>
  <c r="F91" i="14" s="1"/>
  <c r="B64" i="12"/>
  <c r="E45" i="4"/>
  <c r="B64" i="10"/>
  <c r="E97" i="10"/>
  <c r="E95" i="10"/>
  <c r="E100" i="10"/>
  <c r="E101" i="13"/>
  <c r="E104" i="13"/>
  <c r="E99" i="13"/>
  <c r="E102" i="13" s="1"/>
  <c r="F98" i="13" s="1"/>
  <c r="D22" i="8"/>
  <c r="D21" i="8"/>
  <c r="D24" i="8"/>
  <c r="U10" i="5"/>
  <c r="T8" i="22"/>
  <c r="T36" i="4"/>
  <c r="B64" i="11"/>
  <c r="E98" i="9"/>
  <c r="E100" i="9"/>
  <c r="E103" i="9" s="1"/>
  <c r="I34" i="22"/>
  <c r="I37" i="22" s="1"/>
  <c r="I33" i="22"/>
  <c r="E61" i="9" l="1"/>
  <c r="E61" i="14"/>
  <c r="B77" i="11"/>
  <c r="B77" i="10"/>
  <c r="F12" i="8"/>
  <c r="O76" i="9"/>
  <c r="Q12" i="20"/>
  <c r="Q14" i="20" s="1"/>
  <c r="W35" i="10"/>
  <c r="U32" i="4"/>
  <c r="W20" i="4"/>
  <c r="B78" i="12"/>
  <c r="F41" i="13"/>
  <c r="F76" i="13"/>
  <c r="F78" i="13" s="1"/>
  <c r="F85" i="13" s="1"/>
  <c r="F90" i="13"/>
  <c r="E61" i="11"/>
  <c r="I41" i="22"/>
  <c r="I44" i="22" s="1"/>
  <c r="I40" i="22"/>
  <c r="F42" i="12"/>
  <c r="F44" i="12" s="1"/>
  <c r="F41" i="12"/>
  <c r="F89" i="12"/>
  <c r="U31" i="9"/>
  <c r="W19" i="9"/>
  <c r="Q36" i="20"/>
  <c r="Q38" i="20" s="1"/>
  <c r="O76" i="12"/>
  <c r="C30" i="5"/>
  <c r="C32" i="5" s="1"/>
  <c r="B64" i="2"/>
  <c r="E101" i="9"/>
  <c r="F97" i="9" s="1"/>
  <c r="D62" i="9"/>
  <c r="D62" i="10"/>
  <c r="E20" i="5"/>
  <c r="D62" i="12"/>
  <c r="D62" i="13"/>
  <c r="D62" i="14"/>
  <c r="D62" i="11"/>
  <c r="E98" i="10"/>
  <c r="F94" i="10" s="1"/>
  <c r="F41" i="9"/>
  <c r="F44" i="9" s="1"/>
  <c r="F42" i="9"/>
  <c r="F89" i="9"/>
  <c r="E61" i="12"/>
  <c r="U31" i="12"/>
  <c r="W19" i="12"/>
  <c r="F83" i="14"/>
  <c r="F41" i="14"/>
  <c r="F42" i="14" s="1"/>
  <c r="E62" i="2"/>
  <c r="F41" i="11"/>
  <c r="F44" i="11" s="1"/>
  <c r="F86" i="11"/>
  <c r="F42" i="11"/>
  <c r="E106" i="13"/>
  <c r="F57" i="9"/>
  <c r="F59" i="9" s="1"/>
  <c r="F57" i="10"/>
  <c r="F59" i="10" s="1"/>
  <c r="F79" i="22"/>
  <c r="F57" i="12"/>
  <c r="F59" i="12" s="1"/>
  <c r="F57" i="11"/>
  <c r="F59" i="11" s="1"/>
  <c r="F57" i="13"/>
  <c r="F59" i="13" s="1"/>
  <c r="F57" i="14"/>
  <c r="F59" i="14" s="1"/>
  <c r="G20" i="22"/>
  <c r="G21" i="22"/>
  <c r="G24" i="22" s="1"/>
  <c r="U31" i="13"/>
  <c r="U81" i="13"/>
  <c r="U83" i="13" s="1"/>
  <c r="W19" i="13"/>
  <c r="B78" i="9"/>
  <c r="F63" i="2"/>
  <c r="E61" i="10"/>
  <c r="E8" i="8"/>
  <c r="F42" i="10"/>
  <c r="F44" i="10" s="1"/>
  <c r="F86" i="10"/>
  <c r="F41" i="10"/>
  <c r="W54" i="10"/>
  <c r="H52" i="22"/>
  <c r="U54" i="12" l="1"/>
  <c r="U35" i="12"/>
  <c r="W31" i="12"/>
  <c r="H53" i="22"/>
  <c r="H54" i="22"/>
  <c r="H57" i="22" s="1"/>
  <c r="E22" i="5"/>
  <c r="V10" i="5"/>
  <c r="U8" i="22"/>
  <c r="U36" i="4"/>
  <c r="W32" i="4"/>
  <c r="B80" i="9"/>
  <c r="C78" i="9"/>
  <c r="C80" i="9" s="1"/>
  <c r="C82" i="9" s="1"/>
  <c r="D64" i="10"/>
  <c r="P76" i="12"/>
  <c r="R36" i="20"/>
  <c r="R38" i="20" s="1"/>
  <c r="F42" i="4"/>
  <c r="B79" i="10"/>
  <c r="C77" i="10"/>
  <c r="C79" i="10" s="1"/>
  <c r="F19" i="5"/>
  <c r="E15" i="8"/>
  <c r="D64" i="9"/>
  <c r="I47" i="22"/>
  <c r="I48" i="22"/>
  <c r="J32" i="22" s="1"/>
  <c r="F42" i="13"/>
  <c r="X20" i="4"/>
  <c r="U54" i="9"/>
  <c r="U35" i="9"/>
  <c r="W31" i="9"/>
  <c r="B80" i="12"/>
  <c r="C78" i="12"/>
  <c r="C80" i="12" s="1"/>
  <c r="C82" i="12" s="1"/>
  <c r="B79" i="11"/>
  <c r="C77" i="11"/>
  <c r="C79" i="11" s="1"/>
  <c r="F89" i="11"/>
  <c r="F44" i="14"/>
  <c r="D64" i="11"/>
  <c r="P76" i="9"/>
  <c r="R12" i="20"/>
  <c r="R14" i="20" s="1"/>
  <c r="U35" i="13"/>
  <c r="U54" i="13"/>
  <c r="W31" i="13"/>
  <c r="F86" i="14"/>
  <c r="D64" i="14"/>
  <c r="G27" i="22"/>
  <c r="G28" i="22"/>
  <c r="D64" i="13"/>
  <c r="F92" i="12"/>
  <c r="F93" i="13"/>
  <c r="F89" i="10"/>
  <c r="E61" i="13"/>
  <c r="F92" i="9"/>
  <c r="D64" i="12"/>
  <c r="Y20" i="4"/>
  <c r="F95" i="9" l="1"/>
  <c r="W54" i="13"/>
  <c r="B82" i="12"/>
  <c r="V31" i="5"/>
  <c r="D56" i="2" s="1"/>
  <c r="W10" i="5"/>
  <c r="W54" i="12"/>
  <c r="F95" i="12"/>
  <c r="W35" i="13"/>
  <c r="X36" i="4" s="1"/>
  <c r="F92" i="11"/>
  <c r="B82" i="9"/>
  <c r="S12" i="20"/>
  <c r="S14" i="20" s="1"/>
  <c r="Q76" i="9"/>
  <c r="F43" i="4"/>
  <c r="F45" i="4" s="1"/>
  <c r="F44" i="13"/>
  <c r="S36" i="20"/>
  <c r="S38" i="20" s="1"/>
  <c r="Q76" i="12"/>
  <c r="E30" i="5"/>
  <c r="E32" i="5" s="1"/>
  <c r="D64" i="2"/>
  <c r="W35" i="9"/>
  <c r="J33" i="22"/>
  <c r="J34" i="22"/>
  <c r="J37" i="22" s="1"/>
  <c r="H61" i="22"/>
  <c r="H64" i="22" s="1"/>
  <c r="H60" i="22"/>
  <c r="F92" i="10"/>
  <c r="F89" i="14"/>
  <c r="W54" i="9"/>
  <c r="E16" i="8"/>
  <c r="E19" i="8" s="1"/>
  <c r="D77" i="10"/>
  <c r="D79" i="10" s="1"/>
  <c r="Y32" i="4"/>
  <c r="D78" i="12"/>
  <c r="H12" i="22"/>
  <c r="G73" i="22"/>
  <c r="D77" i="11"/>
  <c r="D79" i="11" s="1"/>
  <c r="D78" i="9"/>
  <c r="D80" i="9" s="1"/>
  <c r="D82" i="9" s="1"/>
  <c r="W36" i="4"/>
  <c r="F96" i="13"/>
  <c r="G76" i="22"/>
  <c r="G91" i="22"/>
  <c r="G38" i="4" s="1"/>
  <c r="X32" i="4"/>
  <c r="W35" i="12"/>
  <c r="F62" i="2" l="1"/>
  <c r="H15" i="5"/>
  <c r="H17" i="5" s="1"/>
  <c r="G77" i="22"/>
  <c r="R76" i="9"/>
  <c r="T12" i="20"/>
  <c r="T14" i="20" s="1"/>
  <c r="F97" i="11"/>
  <c r="F100" i="11"/>
  <c r="F95" i="11"/>
  <c r="F101" i="13"/>
  <c r="F104" i="13"/>
  <c r="F99" i="13"/>
  <c r="F102" i="13" s="1"/>
  <c r="G98" i="13" s="1"/>
  <c r="H13" i="22"/>
  <c r="H14" i="22"/>
  <c r="H17" i="22" s="1"/>
  <c r="H72" i="22"/>
  <c r="R76" i="12"/>
  <c r="T36" i="20"/>
  <c r="T38" i="20" s="1"/>
  <c r="X10" i="5"/>
  <c r="Y10" i="5" s="1"/>
  <c r="F94" i="14"/>
  <c r="F97" i="14"/>
  <c r="F92" i="14"/>
  <c r="F95" i="14" s="1"/>
  <c r="G91" i="14" s="1"/>
  <c r="F97" i="10"/>
  <c r="F100" i="10"/>
  <c r="F95" i="10"/>
  <c r="F98" i="10" s="1"/>
  <c r="G94" i="10" s="1"/>
  <c r="F100" i="9"/>
  <c r="F98" i="9"/>
  <c r="F103" i="9"/>
  <c r="G78" i="10"/>
  <c r="G79" i="9"/>
  <c r="G79" i="12"/>
  <c r="G78" i="11"/>
  <c r="E21" i="8"/>
  <c r="E22" i="8" s="1"/>
  <c r="E24" i="8" s="1"/>
  <c r="H68" i="22"/>
  <c r="H67" i="22"/>
  <c r="Y36" i="4"/>
  <c r="J40" i="22"/>
  <c r="J41" i="22"/>
  <c r="J44" i="22" s="1"/>
  <c r="D80" i="12"/>
  <c r="F100" i="12"/>
  <c r="F98" i="12"/>
  <c r="F101" i="12" s="1"/>
  <c r="G97" i="12" s="1"/>
  <c r="F103" i="12"/>
  <c r="G37" i="9"/>
  <c r="G39" i="9" s="1"/>
  <c r="G37" i="10"/>
  <c r="G39" i="10" s="1"/>
  <c r="G37" i="12"/>
  <c r="G39" i="12" s="1"/>
  <c r="G37" i="11"/>
  <c r="G39" i="11" s="1"/>
  <c r="G37" i="13"/>
  <c r="G39" i="13" s="1"/>
  <c r="G37" i="14"/>
  <c r="G39" i="14" s="1"/>
  <c r="G40" i="4"/>
  <c r="E62" i="9" l="1"/>
  <c r="E62" i="10"/>
  <c r="E62" i="12"/>
  <c r="F20" i="5"/>
  <c r="E62" i="13"/>
  <c r="E62" i="14"/>
  <c r="E62" i="11"/>
  <c r="G42" i="9"/>
  <c r="G44" i="9" s="1"/>
  <c r="G41" i="9"/>
  <c r="G89" i="9"/>
  <c r="J48" i="22"/>
  <c r="K32" i="22" s="1"/>
  <c r="J47" i="22"/>
  <c r="F61" i="11"/>
  <c r="F61" i="12"/>
  <c r="G12" i="8"/>
  <c r="S76" i="9"/>
  <c r="U12" i="20"/>
  <c r="U14" i="20" s="1"/>
  <c r="G90" i="13"/>
  <c r="G76" i="13"/>
  <c r="G78" i="13" s="1"/>
  <c r="G85" i="13" s="1"/>
  <c r="G41" i="13"/>
  <c r="G42" i="13" s="1"/>
  <c r="I52" i="22"/>
  <c r="F61" i="9"/>
  <c r="F61" i="14"/>
  <c r="G41" i="11"/>
  <c r="G42" i="11" s="1"/>
  <c r="G86" i="11"/>
  <c r="G57" i="9"/>
  <c r="G59" i="9" s="1"/>
  <c r="G57" i="10"/>
  <c r="G59" i="10" s="1"/>
  <c r="G57" i="12"/>
  <c r="G59" i="12" s="1"/>
  <c r="G57" i="11"/>
  <c r="G59" i="11" s="1"/>
  <c r="G57" i="14"/>
  <c r="G59" i="14" s="1"/>
  <c r="G79" i="22"/>
  <c r="G57" i="13"/>
  <c r="G59" i="13" s="1"/>
  <c r="D82" i="12"/>
  <c r="F61" i="10"/>
  <c r="F8" i="8"/>
  <c r="H20" i="22"/>
  <c r="H21" i="22"/>
  <c r="H24" i="22" s="1"/>
  <c r="G83" i="14"/>
  <c r="G41" i="14"/>
  <c r="F106" i="13"/>
  <c r="G41" i="12"/>
  <c r="G89" i="12"/>
  <c r="G42" i="12"/>
  <c r="G44" i="12" s="1"/>
  <c r="G41" i="10"/>
  <c r="G86" i="10"/>
  <c r="G42" i="10"/>
  <c r="G44" i="10" s="1"/>
  <c r="U36" i="20"/>
  <c r="U38" i="20" s="1"/>
  <c r="S76" i="12"/>
  <c r="F98" i="11"/>
  <c r="G94" i="11" s="1"/>
  <c r="G44" i="13" l="1"/>
  <c r="H91" i="22"/>
  <c r="H38" i="4" s="1"/>
  <c r="G19" i="5"/>
  <c r="F15" i="8"/>
  <c r="G44" i="11"/>
  <c r="G92" i="12"/>
  <c r="T76" i="9"/>
  <c r="V12" i="20"/>
  <c r="V14" i="20" s="1"/>
  <c r="U76" i="9" s="1"/>
  <c r="W76" i="9" s="1"/>
  <c r="E64" i="11"/>
  <c r="G42" i="14"/>
  <c r="G43" i="4" s="1"/>
  <c r="E64" i="14"/>
  <c r="G93" i="13"/>
  <c r="G92" i="9"/>
  <c r="F22" i="5"/>
  <c r="G89" i="10"/>
  <c r="E64" i="12"/>
  <c r="E64" i="9"/>
  <c r="V36" i="20"/>
  <c r="V38" i="20" s="1"/>
  <c r="U76" i="12" s="1"/>
  <c r="T76" i="12"/>
  <c r="G86" i="14"/>
  <c r="G42" i="4"/>
  <c r="K34" i="22"/>
  <c r="K37" i="22" s="1"/>
  <c r="K33" i="22"/>
  <c r="H27" i="22"/>
  <c r="H76" i="22" s="1"/>
  <c r="H28" i="22"/>
  <c r="E64" i="13"/>
  <c r="F61" i="13"/>
  <c r="G89" i="11"/>
  <c r="I54" i="22"/>
  <c r="I57" i="22" s="1"/>
  <c r="I53" i="22"/>
  <c r="E64" i="10"/>
  <c r="F30" i="5" l="1"/>
  <c r="F32" i="5" s="1"/>
  <c r="E64" i="2"/>
  <c r="G45" i="4"/>
  <c r="G95" i="9"/>
  <c r="G89" i="14"/>
  <c r="I15" i="5"/>
  <c r="I17" i="5" s="1"/>
  <c r="H77" i="22"/>
  <c r="W76" i="12"/>
  <c r="G92" i="10"/>
  <c r="E78" i="9"/>
  <c r="H37" i="9"/>
  <c r="H39" i="9" s="1"/>
  <c r="H37" i="10"/>
  <c r="H39" i="10" s="1"/>
  <c r="H37" i="11"/>
  <c r="H39" i="11" s="1"/>
  <c r="H37" i="12"/>
  <c r="H39" i="12" s="1"/>
  <c r="H37" i="13"/>
  <c r="H39" i="13" s="1"/>
  <c r="H37" i="14"/>
  <c r="H39" i="14" s="1"/>
  <c r="H40" i="4"/>
  <c r="G44" i="14"/>
  <c r="G92" i="11"/>
  <c r="E77" i="11"/>
  <c r="E79" i="11" s="1"/>
  <c r="E78" i="12"/>
  <c r="F16" i="8"/>
  <c r="F19" i="8" s="1"/>
  <c r="E77" i="10"/>
  <c r="E79" i="10" s="1"/>
  <c r="I12" i="22"/>
  <c r="H73" i="22"/>
  <c r="G96" i="13"/>
  <c r="I61" i="22"/>
  <c r="I64" i="22" s="1"/>
  <c r="I60" i="22"/>
  <c r="K40" i="22"/>
  <c r="K41" i="22"/>
  <c r="K44" i="22" s="1"/>
  <c r="G95" i="12"/>
  <c r="G95" i="11" l="1"/>
  <c r="G97" i="11"/>
  <c r="G100" i="11" s="1"/>
  <c r="F21" i="8"/>
  <c r="F22" i="8"/>
  <c r="F24" i="8" s="1"/>
  <c r="E80" i="9"/>
  <c r="H42" i="14"/>
  <c r="H83" i="14"/>
  <c r="H86" i="14" s="1"/>
  <c r="H89" i="14" s="1"/>
  <c r="H41" i="14"/>
  <c r="H44" i="14" s="1"/>
  <c r="G101" i="13"/>
  <c r="G99" i="13"/>
  <c r="G102" i="13" s="1"/>
  <c r="H98" i="13" s="1"/>
  <c r="G104" i="13"/>
  <c r="H90" i="13"/>
  <c r="H93" i="13" s="1"/>
  <c r="H96" i="13" s="1"/>
  <c r="H42" i="13"/>
  <c r="H76" i="13"/>
  <c r="H78" i="13" s="1"/>
  <c r="H85" i="13" s="1"/>
  <c r="H41" i="13"/>
  <c r="H44" i="13"/>
  <c r="G98" i="9"/>
  <c r="G100" i="9"/>
  <c r="G103" i="9" s="1"/>
  <c r="H79" i="9"/>
  <c r="H78" i="10"/>
  <c r="H78" i="11"/>
  <c r="H79" i="12"/>
  <c r="G97" i="10"/>
  <c r="G100" i="10"/>
  <c r="G95" i="10"/>
  <c r="G98" i="10" s="1"/>
  <c r="H94" i="10" s="1"/>
  <c r="I14" i="22"/>
  <c r="I17" i="22" s="1"/>
  <c r="I13" i="22"/>
  <c r="I72" i="22"/>
  <c r="H86" i="11"/>
  <c r="H89" i="11" s="1"/>
  <c r="H92" i="11" s="1"/>
  <c r="H41" i="11"/>
  <c r="H42" i="11" s="1"/>
  <c r="H41" i="9"/>
  <c r="H42" i="9" s="1"/>
  <c r="H44" i="9" s="1"/>
  <c r="H89" i="9"/>
  <c r="H92" i="9" s="1"/>
  <c r="H95" i="9" s="1"/>
  <c r="I68" i="22"/>
  <c r="I67" i="22"/>
  <c r="H12" i="8"/>
  <c r="G92" i="14"/>
  <c r="G94" i="14"/>
  <c r="G97" i="14"/>
  <c r="E80" i="12"/>
  <c r="G100" i="12"/>
  <c r="G103" i="12"/>
  <c r="G98" i="12"/>
  <c r="G101" i="12" s="1"/>
  <c r="H97" i="12" s="1"/>
  <c r="H41" i="12"/>
  <c r="H42" i="12" s="1"/>
  <c r="H44" i="12" s="1"/>
  <c r="H89" i="12"/>
  <c r="H92" i="12" s="1"/>
  <c r="H95" i="12" s="1"/>
  <c r="K47" i="22"/>
  <c r="K48" i="22"/>
  <c r="L32" i="22" s="1"/>
  <c r="H86" i="10"/>
  <c r="H89" i="10" s="1"/>
  <c r="H92" i="10" s="1"/>
  <c r="H41" i="10"/>
  <c r="H42" i="10" s="1"/>
  <c r="H57" i="9"/>
  <c r="H59" i="9" s="1"/>
  <c r="H57" i="10"/>
  <c r="H59" i="10" s="1"/>
  <c r="H79" i="22"/>
  <c r="H57" i="12"/>
  <c r="H59" i="12" s="1"/>
  <c r="H57" i="11"/>
  <c r="H59" i="11" s="1"/>
  <c r="H57" i="13"/>
  <c r="H59" i="13" s="1"/>
  <c r="H57" i="14"/>
  <c r="H59" i="14" s="1"/>
  <c r="F62" i="10" l="1"/>
  <c r="G20" i="5"/>
  <c r="F62" i="9"/>
  <c r="F62" i="13"/>
  <c r="F62" i="12"/>
  <c r="F62" i="11"/>
  <c r="F62" i="14"/>
  <c r="G61" i="9"/>
  <c r="G61" i="11"/>
  <c r="E82" i="12"/>
  <c r="H98" i="12"/>
  <c r="H100" i="12"/>
  <c r="H103" i="12" s="1"/>
  <c r="H61" i="12" s="1"/>
  <c r="G61" i="14"/>
  <c r="I21" i="22"/>
  <c r="I24" i="22" s="1"/>
  <c r="I20" i="22"/>
  <c r="H101" i="13"/>
  <c r="H102" i="13" s="1"/>
  <c r="I98" i="13" s="1"/>
  <c r="H99" i="13"/>
  <c r="H44" i="10"/>
  <c r="G95" i="14"/>
  <c r="H91" i="14" s="1"/>
  <c r="G106" i="13"/>
  <c r="E82" i="9"/>
  <c r="H95" i="10"/>
  <c r="H98" i="10" s="1"/>
  <c r="I94" i="10" s="1"/>
  <c r="H97" i="10"/>
  <c r="H100" i="10" s="1"/>
  <c r="H101" i="12"/>
  <c r="I97" i="12" s="1"/>
  <c r="G101" i="9"/>
  <c r="H97" i="9" s="1"/>
  <c r="G61" i="12"/>
  <c r="H44" i="11"/>
  <c r="G61" i="10"/>
  <c r="L33" i="22"/>
  <c r="L34" i="22"/>
  <c r="L37" i="22" s="1"/>
  <c r="H95" i="11"/>
  <c r="J52" i="22"/>
  <c r="H42" i="4"/>
  <c r="H92" i="14"/>
  <c r="H94" i="14"/>
  <c r="H97" i="14"/>
  <c r="H61" i="14" s="1"/>
  <c r="H98" i="9"/>
  <c r="H100" i="9"/>
  <c r="H103" i="9"/>
  <c r="H61" i="9" s="1"/>
  <c r="H43" i="4"/>
  <c r="G98" i="11"/>
  <c r="H94" i="11" s="1"/>
  <c r="H97" i="11" s="1"/>
  <c r="H100" i="11" s="1"/>
  <c r="H61" i="11" s="1"/>
  <c r="I76" i="22" l="1"/>
  <c r="H61" i="10"/>
  <c r="G61" i="13"/>
  <c r="I28" i="22"/>
  <c r="I27" i="22"/>
  <c r="F64" i="14"/>
  <c r="H45" i="4"/>
  <c r="F64" i="11"/>
  <c r="H101" i="9"/>
  <c r="I97" i="9" s="1"/>
  <c r="H104" i="13"/>
  <c r="H106" i="13" s="1"/>
  <c r="H61" i="13" s="1"/>
  <c r="F64" i="9"/>
  <c r="H98" i="11"/>
  <c r="I94" i="11" s="1"/>
  <c r="F64" i="10"/>
  <c r="I91" i="22"/>
  <c r="I38" i="4" s="1"/>
  <c r="L41" i="22"/>
  <c r="L44" i="22" s="1"/>
  <c r="L40" i="22"/>
  <c r="H95" i="14"/>
  <c r="I91" i="14" s="1"/>
  <c r="F64" i="12"/>
  <c r="J54" i="22"/>
  <c r="J57" i="22" s="1"/>
  <c r="J53" i="22"/>
  <c r="F64" i="13"/>
  <c r="G8" i="8"/>
  <c r="G22" i="5"/>
  <c r="I37" i="9" l="1"/>
  <c r="I39" i="9" s="1"/>
  <c r="I37" i="10"/>
  <c r="I39" i="10" s="1"/>
  <c r="I37" i="12"/>
  <c r="I39" i="12" s="1"/>
  <c r="I37" i="11"/>
  <c r="I39" i="11" s="1"/>
  <c r="I37" i="13"/>
  <c r="I39" i="13" s="1"/>
  <c r="I37" i="14"/>
  <c r="I39" i="14" s="1"/>
  <c r="I40" i="4"/>
  <c r="G30" i="5"/>
  <c r="G32" i="5" s="1"/>
  <c r="F64" i="2"/>
  <c r="F78" i="12"/>
  <c r="F77" i="11"/>
  <c r="F79" i="11" s="1"/>
  <c r="F77" i="10"/>
  <c r="F79" i="10" s="1"/>
  <c r="H8" i="8"/>
  <c r="L48" i="22"/>
  <c r="M32" i="22" s="1"/>
  <c r="L47" i="22"/>
  <c r="J12" i="22"/>
  <c r="I73" i="22"/>
  <c r="J60" i="22"/>
  <c r="J61" i="22"/>
  <c r="J64" i="22" s="1"/>
  <c r="J15" i="5"/>
  <c r="J17" i="5" s="1"/>
  <c r="I77" i="22"/>
  <c r="H19" i="5"/>
  <c r="G15" i="8"/>
  <c r="F78" i="9"/>
  <c r="J67" i="22" l="1"/>
  <c r="J68" i="22"/>
  <c r="F80" i="9"/>
  <c r="I12" i="8"/>
  <c r="I79" i="9"/>
  <c r="I79" i="12"/>
  <c r="I78" i="10"/>
  <c r="I78" i="11"/>
  <c r="I83" i="14"/>
  <c r="I86" i="14" s="1"/>
  <c r="I89" i="14" s="1"/>
  <c r="I41" i="14"/>
  <c r="I44" i="14" s="1"/>
  <c r="I42" i="14"/>
  <c r="J13" i="22"/>
  <c r="J14" i="22"/>
  <c r="J17" i="22" s="1"/>
  <c r="J72" i="22"/>
  <c r="I44" i="13"/>
  <c r="I90" i="13"/>
  <c r="I93" i="13" s="1"/>
  <c r="I96" i="13" s="1"/>
  <c r="I41" i="13"/>
  <c r="I42" i="13"/>
  <c r="I76" i="13"/>
  <c r="I78" i="13" s="1"/>
  <c r="I85" i="13" s="1"/>
  <c r="G16" i="8"/>
  <c r="G19" i="8" s="1"/>
  <c r="I41" i="11"/>
  <c r="I44" i="11" s="1"/>
  <c r="I42" i="11"/>
  <c r="I86" i="11"/>
  <c r="I89" i="11" s="1"/>
  <c r="I92" i="11" s="1"/>
  <c r="M33" i="22"/>
  <c r="M34" i="22"/>
  <c r="M37" i="22" s="1"/>
  <c r="F80" i="12"/>
  <c r="I41" i="12"/>
  <c r="I42" i="12" s="1"/>
  <c r="I44" i="12" s="1"/>
  <c r="I89" i="12"/>
  <c r="I92" i="12" s="1"/>
  <c r="I95" i="12" s="1"/>
  <c r="I57" i="9"/>
  <c r="I59" i="9" s="1"/>
  <c r="I57" i="10"/>
  <c r="I59" i="10" s="1"/>
  <c r="I57" i="12"/>
  <c r="I59" i="12" s="1"/>
  <c r="I57" i="11"/>
  <c r="I59" i="11" s="1"/>
  <c r="I79" i="22"/>
  <c r="I57" i="13"/>
  <c r="I59" i="13" s="1"/>
  <c r="I57" i="14"/>
  <c r="I59" i="14" s="1"/>
  <c r="I19" i="5"/>
  <c r="H15" i="8"/>
  <c r="H16" i="8" s="1"/>
  <c r="H19" i="8" s="1"/>
  <c r="I41" i="10"/>
  <c r="I86" i="10"/>
  <c r="I89" i="10" s="1"/>
  <c r="I92" i="10" s="1"/>
  <c r="I89" i="9"/>
  <c r="I92" i="9" s="1"/>
  <c r="I95" i="9" s="1"/>
  <c r="I41" i="9"/>
  <c r="I42" i="9"/>
  <c r="I44" i="9"/>
  <c r="I100" i="9" l="1"/>
  <c r="I103" i="9" s="1"/>
  <c r="I61" i="9" s="1"/>
  <c r="I98" i="9"/>
  <c r="I101" i="9" s="1"/>
  <c r="J97" i="9" s="1"/>
  <c r="I95" i="10"/>
  <c r="I97" i="10"/>
  <c r="I100" i="10" s="1"/>
  <c r="I42" i="10"/>
  <c r="I44" i="10" s="1"/>
  <c r="F82" i="12"/>
  <c r="G21" i="8"/>
  <c r="H21" i="8" s="1"/>
  <c r="H22" i="8" s="1"/>
  <c r="H24" i="8" s="1"/>
  <c r="G22" i="8"/>
  <c r="G24" i="8" s="1"/>
  <c r="M40" i="22"/>
  <c r="M41" i="22"/>
  <c r="M44" i="22" s="1"/>
  <c r="I42" i="4"/>
  <c r="I94" i="14"/>
  <c r="I97" i="14" s="1"/>
  <c r="I61" i="14" s="1"/>
  <c r="I92" i="14"/>
  <c r="K52" i="22"/>
  <c r="J21" i="22"/>
  <c r="J24" i="22" s="1"/>
  <c r="J20" i="22"/>
  <c r="I100" i="12"/>
  <c r="I103" i="12" s="1"/>
  <c r="I61" i="12" s="1"/>
  <c r="I98" i="12"/>
  <c r="I97" i="11"/>
  <c r="I100" i="11"/>
  <c r="I61" i="11" s="1"/>
  <c r="I95" i="11"/>
  <c r="I98" i="11" s="1"/>
  <c r="J94" i="11" s="1"/>
  <c r="I99" i="13"/>
  <c r="I101" i="13"/>
  <c r="I104" i="13" s="1"/>
  <c r="I106" i="13" s="1"/>
  <c r="I61" i="13" s="1"/>
  <c r="F82" i="9"/>
  <c r="G62" i="9" l="1"/>
  <c r="G62" i="10"/>
  <c r="H20" i="5"/>
  <c r="G62" i="11"/>
  <c r="G62" i="13"/>
  <c r="G62" i="12"/>
  <c r="G62" i="14"/>
  <c r="H62" i="9"/>
  <c r="H64" i="9" s="1"/>
  <c r="H62" i="10"/>
  <c r="H64" i="10" s="1"/>
  <c r="I20" i="5"/>
  <c r="I22" i="5" s="1"/>
  <c r="I30" i="5" s="1"/>
  <c r="I32" i="5" s="1"/>
  <c r="H62" i="12"/>
  <c r="H64" i="12" s="1"/>
  <c r="H62" i="11"/>
  <c r="H64" i="11" s="1"/>
  <c r="H62" i="13"/>
  <c r="H64" i="13" s="1"/>
  <c r="H62" i="14"/>
  <c r="H64" i="14" s="1"/>
  <c r="I61" i="10"/>
  <c r="I8" i="8"/>
  <c r="I98" i="10"/>
  <c r="J94" i="10" s="1"/>
  <c r="K53" i="22"/>
  <c r="K54" i="22"/>
  <c r="K57" i="22" s="1"/>
  <c r="I45" i="4"/>
  <c r="I101" i="12"/>
  <c r="J97" i="12" s="1"/>
  <c r="I95" i="14"/>
  <c r="J91" i="14" s="1"/>
  <c r="M47" i="22"/>
  <c r="M48" i="22"/>
  <c r="N32" i="22" s="1"/>
  <c r="I102" i="13"/>
  <c r="J98" i="13" s="1"/>
  <c r="I43" i="4"/>
  <c r="J27" i="22"/>
  <c r="J76" i="22" s="1"/>
  <c r="J28" i="22"/>
  <c r="N33" i="22" l="1"/>
  <c r="N34" i="22"/>
  <c r="N37" i="22" s="1"/>
  <c r="G64" i="12"/>
  <c r="G64" i="13"/>
  <c r="G64" i="11"/>
  <c r="H22" i="5"/>
  <c r="H30" i="5" s="1"/>
  <c r="H32" i="5" s="1"/>
  <c r="G64" i="14"/>
  <c r="K12" i="22"/>
  <c r="J73" i="22"/>
  <c r="J19" i="5"/>
  <c r="I15" i="8"/>
  <c r="I16" i="8" s="1"/>
  <c r="I19" i="8" s="1"/>
  <c r="G64" i="10"/>
  <c r="K15" i="5"/>
  <c r="K17" i="5" s="1"/>
  <c r="J77" i="22"/>
  <c r="G64" i="9"/>
  <c r="K60" i="22"/>
  <c r="K61" i="22"/>
  <c r="K64" i="22" s="1"/>
  <c r="J91" i="22"/>
  <c r="J38" i="4" s="1"/>
  <c r="G78" i="9" l="1"/>
  <c r="I21" i="8"/>
  <c r="I22" i="8"/>
  <c r="I24" i="8" s="1"/>
  <c r="J57" i="9"/>
  <c r="J59" i="9" s="1"/>
  <c r="J57" i="10"/>
  <c r="J59" i="10" s="1"/>
  <c r="J79" i="22"/>
  <c r="J57" i="11"/>
  <c r="J59" i="11" s="1"/>
  <c r="J57" i="14"/>
  <c r="J59" i="14" s="1"/>
  <c r="J57" i="13"/>
  <c r="J59" i="13" s="1"/>
  <c r="J57" i="12"/>
  <c r="J59" i="12" s="1"/>
  <c r="G78" i="12"/>
  <c r="K67" i="22"/>
  <c r="K68" i="22"/>
  <c r="G77" i="11"/>
  <c r="G77" i="10"/>
  <c r="J78" i="10"/>
  <c r="J79" i="9"/>
  <c r="J79" i="12"/>
  <c r="J78" i="11"/>
  <c r="N41" i="22"/>
  <c r="N44" i="22" s="1"/>
  <c r="N40" i="22"/>
  <c r="J37" i="9"/>
  <c r="J39" i="9" s="1"/>
  <c r="J37" i="10"/>
  <c r="J39" i="10" s="1"/>
  <c r="J37" i="12"/>
  <c r="J39" i="12" s="1"/>
  <c r="J37" i="13"/>
  <c r="J39" i="13" s="1"/>
  <c r="J37" i="11"/>
  <c r="J39" i="11" s="1"/>
  <c r="J37" i="14"/>
  <c r="J39" i="14" s="1"/>
  <c r="J40" i="4"/>
  <c r="K13" i="22"/>
  <c r="K14" i="22"/>
  <c r="K17" i="22" s="1"/>
  <c r="K72" i="22"/>
  <c r="I62" i="9" l="1"/>
  <c r="I64" i="9" s="1"/>
  <c r="J20" i="5"/>
  <c r="J22" i="5" s="1"/>
  <c r="J30" i="5" s="1"/>
  <c r="J32" i="5" s="1"/>
  <c r="I62" i="10"/>
  <c r="I64" i="10" s="1"/>
  <c r="I62" i="12"/>
  <c r="I64" i="12" s="1"/>
  <c r="I62" i="11"/>
  <c r="I64" i="11" s="1"/>
  <c r="I62" i="14"/>
  <c r="I64" i="14" s="1"/>
  <c r="I62" i="13"/>
  <c r="I64" i="13" s="1"/>
  <c r="J41" i="14"/>
  <c r="J83" i="14"/>
  <c r="J86" i="14" s="1"/>
  <c r="J89" i="14" s="1"/>
  <c r="L52" i="22"/>
  <c r="J86" i="11"/>
  <c r="J89" i="11" s="1"/>
  <c r="J92" i="11" s="1"/>
  <c r="J41" i="11"/>
  <c r="J42" i="11" s="1"/>
  <c r="J44" i="11" s="1"/>
  <c r="J76" i="13"/>
  <c r="J78" i="13" s="1"/>
  <c r="J85" i="13" s="1"/>
  <c r="J90" i="13"/>
  <c r="J93" i="13" s="1"/>
  <c r="J96" i="13" s="1"/>
  <c r="J41" i="13"/>
  <c r="J89" i="12"/>
  <c r="J92" i="12" s="1"/>
  <c r="J95" i="12" s="1"/>
  <c r="J41" i="12"/>
  <c r="G80" i="12"/>
  <c r="H78" i="12"/>
  <c r="H80" i="12" s="1"/>
  <c r="H82" i="12" s="1"/>
  <c r="J86" i="10"/>
  <c r="J89" i="10" s="1"/>
  <c r="J92" i="10" s="1"/>
  <c r="J41" i="10"/>
  <c r="J42" i="10" s="1"/>
  <c r="J44" i="10" s="1"/>
  <c r="J12" i="8"/>
  <c r="K21" i="22"/>
  <c r="K24" i="22" s="1"/>
  <c r="K20" i="22"/>
  <c r="J41" i="9"/>
  <c r="J89" i="9"/>
  <c r="J92" i="9" s="1"/>
  <c r="J95" i="9" s="1"/>
  <c r="G79" i="10"/>
  <c r="H77" i="10"/>
  <c r="H79" i="10" s="1"/>
  <c r="N48" i="22"/>
  <c r="O32" i="22" s="1"/>
  <c r="N47" i="22"/>
  <c r="G79" i="11"/>
  <c r="H77" i="11"/>
  <c r="H79" i="11" s="1"/>
  <c r="G80" i="9"/>
  <c r="H78" i="9"/>
  <c r="H80" i="9" s="1"/>
  <c r="H82" i="9" s="1"/>
  <c r="J44" i="14" l="1"/>
  <c r="J94" i="14"/>
  <c r="J97" i="14"/>
  <c r="J61" i="14" s="1"/>
  <c r="J92" i="14"/>
  <c r="J98" i="9"/>
  <c r="J101" i="9" s="1"/>
  <c r="K97" i="9" s="1"/>
  <c r="J100" i="9"/>
  <c r="J103" i="9" s="1"/>
  <c r="J61" i="9" s="1"/>
  <c r="J97" i="10"/>
  <c r="J100" i="10"/>
  <c r="J95" i="10"/>
  <c r="J98" i="10" s="1"/>
  <c r="K94" i="10" s="1"/>
  <c r="J42" i="12"/>
  <c r="J44" i="12" s="1"/>
  <c r="J42" i="4"/>
  <c r="J42" i="9"/>
  <c r="J44" i="9" s="1"/>
  <c r="J42" i="13"/>
  <c r="I77" i="11"/>
  <c r="I79" i="11" s="1"/>
  <c r="J44" i="13"/>
  <c r="I78" i="12"/>
  <c r="I80" i="12" s="1"/>
  <c r="I82" i="12" s="1"/>
  <c r="K27" i="22"/>
  <c r="K76" i="22" s="1"/>
  <c r="K28" i="22"/>
  <c r="G82" i="9"/>
  <c r="J100" i="12"/>
  <c r="J103" i="12"/>
  <c r="J61" i="12" s="1"/>
  <c r="J98" i="12"/>
  <c r="J101" i="12" s="1"/>
  <c r="K97" i="12" s="1"/>
  <c r="J95" i="11"/>
  <c r="J98" i="11" s="1"/>
  <c r="K94" i="11" s="1"/>
  <c r="J97" i="11"/>
  <c r="J100" i="11"/>
  <c r="J61" i="11" s="1"/>
  <c r="L53" i="22"/>
  <c r="L54" i="22"/>
  <c r="L57" i="22" s="1"/>
  <c r="O33" i="22"/>
  <c r="O34" i="22"/>
  <c r="O37" i="22" s="1"/>
  <c r="G82" i="12"/>
  <c r="J99" i="13"/>
  <c r="J102" i="13" s="1"/>
  <c r="K98" i="13" s="1"/>
  <c r="J101" i="13"/>
  <c r="J104" i="13" s="1"/>
  <c r="J106" i="13" s="1"/>
  <c r="J61" i="13" s="1"/>
  <c r="J42" i="14"/>
  <c r="I77" i="10"/>
  <c r="I79" i="10" s="1"/>
  <c r="I78" i="9"/>
  <c r="I80" i="9" s="1"/>
  <c r="I82" i="9" s="1"/>
  <c r="L15" i="5" l="1"/>
  <c r="L17" i="5" s="1"/>
  <c r="K77" i="22"/>
  <c r="O41" i="22"/>
  <c r="O44" i="22" s="1"/>
  <c r="O40" i="22"/>
  <c r="J61" i="10"/>
  <c r="J8" i="8"/>
  <c r="L60" i="22"/>
  <c r="L61" i="22"/>
  <c r="L64" i="22" s="1"/>
  <c r="K91" i="22"/>
  <c r="K38" i="4" s="1"/>
  <c r="J43" i="4"/>
  <c r="L12" i="22"/>
  <c r="K73" i="22"/>
  <c r="J45" i="4"/>
  <c r="J95" i="14"/>
  <c r="K91" i="14" s="1"/>
  <c r="K57" i="9" l="1"/>
  <c r="K59" i="9" s="1"/>
  <c r="K57" i="10"/>
  <c r="K59" i="10" s="1"/>
  <c r="K57" i="12"/>
  <c r="K59" i="12" s="1"/>
  <c r="K79" i="22"/>
  <c r="K57" i="13"/>
  <c r="K59" i="13" s="1"/>
  <c r="K57" i="11"/>
  <c r="K59" i="11" s="1"/>
  <c r="K57" i="14"/>
  <c r="K59" i="14" s="1"/>
  <c r="O47" i="22"/>
  <c r="O48" i="22"/>
  <c r="P32" i="22" s="1"/>
  <c r="K19" i="5"/>
  <c r="J15" i="8"/>
  <c r="J16" i="8" s="1"/>
  <c r="J19" i="8" s="1"/>
  <c r="K37" i="10"/>
  <c r="K39" i="10" s="1"/>
  <c r="K37" i="9"/>
  <c r="K39" i="9" s="1"/>
  <c r="K37" i="12"/>
  <c r="K39" i="12" s="1"/>
  <c r="K37" i="11"/>
  <c r="K39" i="11" s="1"/>
  <c r="K37" i="13"/>
  <c r="K39" i="13" s="1"/>
  <c r="K37" i="14"/>
  <c r="K39" i="14" s="1"/>
  <c r="K40" i="4"/>
  <c r="L67" i="22"/>
  <c r="L68" i="22"/>
  <c r="K79" i="9"/>
  <c r="K78" i="10"/>
  <c r="K79" i="12"/>
  <c r="K78" i="11"/>
  <c r="L13" i="22"/>
  <c r="L14" i="22"/>
  <c r="L17" i="22" s="1"/>
  <c r="L72" i="22"/>
  <c r="K89" i="9" l="1"/>
  <c r="K92" i="9" s="1"/>
  <c r="K95" i="9" s="1"/>
  <c r="K41" i="9"/>
  <c r="K42" i="9" s="1"/>
  <c r="K41" i="10"/>
  <c r="K42" i="10" s="1"/>
  <c r="K44" i="10" s="1"/>
  <c r="K86" i="10"/>
  <c r="K89" i="10" s="1"/>
  <c r="K92" i="10" s="1"/>
  <c r="K41" i="14"/>
  <c r="K42" i="14"/>
  <c r="K44" i="14" s="1"/>
  <c r="K83" i="14"/>
  <c r="K86" i="14" s="1"/>
  <c r="K89" i="14" s="1"/>
  <c r="K41" i="11"/>
  <c r="K86" i="11"/>
  <c r="K89" i="11" s="1"/>
  <c r="K92" i="11" s="1"/>
  <c r="K89" i="12"/>
  <c r="K92" i="12" s="1"/>
  <c r="K95" i="12" s="1"/>
  <c r="K41" i="12"/>
  <c r="K42" i="12"/>
  <c r="K44" i="12"/>
  <c r="M52" i="22"/>
  <c r="J21" i="8"/>
  <c r="J22" i="8" s="1"/>
  <c r="J24" i="8" s="1"/>
  <c r="L21" i="22"/>
  <c r="L24" i="22" s="1"/>
  <c r="L20" i="22"/>
  <c r="K12" i="8"/>
  <c r="P33" i="22"/>
  <c r="P34" i="22"/>
  <c r="P37" i="22" s="1"/>
  <c r="K41" i="13"/>
  <c r="K42" i="4" s="1"/>
  <c r="K76" i="13"/>
  <c r="K78" i="13" s="1"/>
  <c r="K85" i="13" s="1"/>
  <c r="K90" i="13"/>
  <c r="K93" i="13" s="1"/>
  <c r="K96" i="13" s="1"/>
  <c r="J62" i="9" l="1"/>
  <c r="J64" i="9" s="1"/>
  <c r="J78" i="9" s="1"/>
  <c r="J80" i="9" s="1"/>
  <c r="J82" i="9" s="1"/>
  <c r="K20" i="5"/>
  <c r="K22" i="5" s="1"/>
  <c r="K30" i="5" s="1"/>
  <c r="K32" i="5" s="1"/>
  <c r="J62" i="10"/>
  <c r="J64" i="10" s="1"/>
  <c r="J77" i="10" s="1"/>
  <c r="J79" i="10" s="1"/>
  <c r="J62" i="12"/>
  <c r="J64" i="12" s="1"/>
  <c r="J78" i="12" s="1"/>
  <c r="J80" i="12" s="1"/>
  <c r="J82" i="12" s="1"/>
  <c r="J62" i="11"/>
  <c r="J64" i="11" s="1"/>
  <c r="J77" i="11" s="1"/>
  <c r="J79" i="11" s="1"/>
  <c r="J62" i="13"/>
  <c r="J64" i="13" s="1"/>
  <c r="J62" i="14"/>
  <c r="J64" i="14" s="1"/>
  <c r="K94" i="14"/>
  <c r="K97" i="14"/>
  <c r="K61" i="14" s="1"/>
  <c r="K92" i="14"/>
  <c r="K95" i="14" s="1"/>
  <c r="L91" i="14" s="1"/>
  <c r="L28" i="22"/>
  <c r="L27" i="22"/>
  <c r="L76" i="22" s="1"/>
  <c r="K100" i="12"/>
  <c r="K103" i="12" s="1"/>
  <c r="K61" i="12" s="1"/>
  <c r="K98" i="12"/>
  <c r="K44" i="9"/>
  <c r="P41" i="22"/>
  <c r="P44" i="22" s="1"/>
  <c r="P40" i="22"/>
  <c r="K98" i="9"/>
  <c r="K101" i="9" s="1"/>
  <c r="L97" i="9" s="1"/>
  <c r="K100" i="9"/>
  <c r="K103" i="9" s="1"/>
  <c r="K61" i="9" s="1"/>
  <c r="K42" i="13"/>
  <c r="K44" i="13"/>
  <c r="K42" i="11"/>
  <c r="K44" i="11" s="1"/>
  <c r="K104" i="13"/>
  <c r="K99" i="13"/>
  <c r="K102" i="13" s="1"/>
  <c r="L98" i="13" s="1"/>
  <c r="K101" i="13"/>
  <c r="M53" i="22"/>
  <c r="M54" i="22"/>
  <c r="M57" i="22" s="1"/>
  <c r="K95" i="11"/>
  <c r="K97" i="11"/>
  <c r="K100" i="11"/>
  <c r="K61" i="11" s="1"/>
  <c r="K106" i="13"/>
  <c r="K61" i="13" s="1"/>
  <c r="K100" i="10"/>
  <c r="K95" i="10"/>
  <c r="K97" i="10"/>
  <c r="M15" i="5" l="1"/>
  <c r="M17" i="5" s="1"/>
  <c r="L77" i="22"/>
  <c r="M12" i="22"/>
  <c r="L73" i="22"/>
  <c r="K98" i="11"/>
  <c r="L94" i="11" s="1"/>
  <c r="K43" i="4"/>
  <c r="K45" i="4" s="1"/>
  <c r="K101" i="12"/>
  <c r="L97" i="12" s="1"/>
  <c r="P47" i="22"/>
  <c r="P48" i="22"/>
  <c r="Q32" i="22" s="1"/>
  <c r="M60" i="22"/>
  <c r="M61" i="22"/>
  <c r="M64" i="22" s="1"/>
  <c r="K98" i="10"/>
  <c r="L94" i="10" s="1"/>
  <c r="L91" i="22"/>
  <c r="L38" i="4" s="1"/>
  <c r="K61" i="10"/>
  <c r="K8" i="8"/>
  <c r="L79" i="9" l="1"/>
  <c r="L78" i="10"/>
  <c r="L78" i="11"/>
  <c r="L79" i="12"/>
  <c r="M14" i="22"/>
  <c r="M17" i="22" s="1"/>
  <c r="M13" i="22"/>
  <c r="M72" i="22"/>
  <c r="M67" i="22"/>
  <c r="M68" i="22"/>
  <c r="Q34" i="22"/>
  <c r="Q37" i="22" s="1"/>
  <c r="Q33" i="22"/>
  <c r="L19" i="5"/>
  <c r="K15" i="8"/>
  <c r="K16" i="8" s="1"/>
  <c r="K19" i="8" s="1"/>
  <c r="L57" i="9"/>
  <c r="L59" i="9" s="1"/>
  <c r="L57" i="10"/>
  <c r="L59" i="10" s="1"/>
  <c r="L79" i="22"/>
  <c r="L57" i="12"/>
  <c r="L59" i="12" s="1"/>
  <c r="L57" i="13"/>
  <c r="L59" i="13" s="1"/>
  <c r="L57" i="14"/>
  <c r="L59" i="14" s="1"/>
  <c r="L57" i="11"/>
  <c r="L59" i="11" s="1"/>
  <c r="L37" i="9"/>
  <c r="L39" i="9" s="1"/>
  <c r="L37" i="10"/>
  <c r="L39" i="10" s="1"/>
  <c r="L37" i="12"/>
  <c r="L39" i="12" s="1"/>
  <c r="L37" i="14"/>
  <c r="L39" i="14" s="1"/>
  <c r="L37" i="13"/>
  <c r="L39" i="13" s="1"/>
  <c r="L37" i="11"/>
  <c r="L39" i="11" s="1"/>
  <c r="L40" i="4"/>
  <c r="K21" i="8" l="1"/>
  <c r="K22" i="8" s="1"/>
  <c r="K24" i="8" s="1"/>
  <c r="L12" i="8"/>
  <c r="M21" i="22"/>
  <c r="M24" i="22" s="1"/>
  <c r="M20" i="22"/>
  <c r="Q40" i="22"/>
  <c r="Q41" i="22"/>
  <c r="Q44" i="22" s="1"/>
  <c r="L41" i="13"/>
  <c r="L42" i="13"/>
  <c r="L76" i="13"/>
  <c r="L78" i="13" s="1"/>
  <c r="L85" i="13" s="1"/>
  <c r="L90" i="13"/>
  <c r="L93" i="13" s="1"/>
  <c r="L96" i="13" s="1"/>
  <c r="L44" i="13"/>
  <c r="L41" i="14"/>
  <c r="L42" i="14"/>
  <c r="L44" i="14"/>
  <c r="L83" i="14"/>
  <c r="L86" i="14" s="1"/>
  <c r="L89" i="14" s="1"/>
  <c r="N52" i="22"/>
  <c r="L41" i="9"/>
  <c r="L42" i="9" s="1"/>
  <c r="L89" i="9"/>
  <c r="L92" i="9" s="1"/>
  <c r="L95" i="9" s="1"/>
  <c r="L42" i="11"/>
  <c r="L41" i="11"/>
  <c r="L44" i="11"/>
  <c r="L86" i="11"/>
  <c r="L89" i="11" s="1"/>
  <c r="L92" i="11" s="1"/>
  <c r="L89" i="12"/>
  <c r="L92" i="12" s="1"/>
  <c r="L95" i="12" s="1"/>
  <c r="L41" i="12"/>
  <c r="L41" i="10"/>
  <c r="L44" i="10" s="1"/>
  <c r="L42" i="10"/>
  <c r="L86" i="10"/>
  <c r="L89" i="10" s="1"/>
  <c r="L92" i="10" s="1"/>
  <c r="K62" i="9" l="1"/>
  <c r="K64" i="9" s="1"/>
  <c r="K78" i="9" s="1"/>
  <c r="K80" i="9" s="1"/>
  <c r="K82" i="9" s="1"/>
  <c r="K62" i="10"/>
  <c r="K64" i="10" s="1"/>
  <c r="K77" i="10" s="1"/>
  <c r="K79" i="10" s="1"/>
  <c r="L20" i="5"/>
  <c r="L22" i="5" s="1"/>
  <c r="L30" i="5" s="1"/>
  <c r="L32" i="5" s="1"/>
  <c r="K62" i="12"/>
  <c r="K64" i="12" s="1"/>
  <c r="K78" i="12" s="1"/>
  <c r="K80" i="12" s="1"/>
  <c r="K82" i="12" s="1"/>
  <c r="K62" i="11"/>
  <c r="K64" i="11" s="1"/>
  <c r="K77" i="11" s="1"/>
  <c r="K79" i="11" s="1"/>
  <c r="K62" i="14"/>
  <c r="K64" i="14" s="1"/>
  <c r="K62" i="13"/>
  <c r="K64" i="13" s="1"/>
  <c r="N53" i="22"/>
  <c r="N54" i="22"/>
  <c r="N57" i="22" s="1"/>
  <c r="L100" i="12"/>
  <c r="L103" i="12"/>
  <c r="L61" i="12" s="1"/>
  <c r="L98" i="12"/>
  <c r="L94" i="14"/>
  <c r="L97" i="14" s="1"/>
  <c r="L61" i="14" s="1"/>
  <c r="L92" i="14"/>
  <c r="M28" i="22"/>
  <c r="M27" i="22"/>
  <c r="M76" i="22" s="1"/>
  <c r="L44" i="9"/>
  <c r="L42" i="12"/>
  <c r="L44" i="12" s="1"/>
  <c r="L43" i="4"/>
  <c r="L42" i="4"/>
  <c r="L97" i="10"/>
  <c r="L100" i="10"/>
  <c r="L95" i="10"/>
  <c r="L97" i="11"/>
  <c r="L100" i="11" s="1"/>
  <c r="L61" i="11" s="1"/>
  <c r="L95" i="11"/>
  <c r="L100" i="9"/>
  <c r="L98" i="9"/>
  <c r="L103" i="9"/>
  <c r="L61" i="9" s="1"/>
  <c r="Q47" i="22"/>
  <c r="Q48" i="22"/>
  <c r="R32" i="22" s="1"/>
  <c r="L99" i="13"/>
  <c r="L101" i="13"/>
  <c r="L104" i="13" s="1"/>
  <c r="L106" i="13" s="1"/>
  <c r="L61" i="13" s="1"/>
  <c r="L98" i="10" l="1"/>
  <c r="M94" i="10" s="1"/>
  <c r="N15" i="5"/>
  <c r="N17" i="5" s="1"/>
  <c r="M77" i="22"/>
  <c r="N60" i="22"/>
  <c r="N61" i="22"/>
  <c r="N64" i="22" s="1"/>
  <c r="N12" i="22"/>
  <c r="M73" i="22"/>
  <c r="L102" i="13"/>
  <c r="M98" i="13" s="1"/>
  <c r="L101" i="12"/>
  <c r="M97" i="12" s="1"/>
  <c r="R34" i="22"/>
  <c r="R37" i="22" s="1"/>
  <c r="R33" i="22"/>
  <c r="L61" i="10"/>
  <c r="L8" i="8"/>
  <c r="L101" i="9"/>
  <c r="M97" i="9" s="1"/>
  <c r="L45" i="4"/>
  <c r="M91" i="22"/>
  <c r="M38" i="4" s="1"/>
  <c r="L98" i="11"/>
  <c r="M94" i="11" s="1"/>
  <c r="L95" i="14"/>
  <c r="M91" i="14" s="1"/>
  <c r="M19" i="5" l="1"/>
  <c r="L15" i="8"/>
  <c r="L16" i="8" s="1"/>
  <c r="L19" i="8" s="1"/>
  <c r="R41" i="22"/>
  <c r="R44" i="22" s="1"/>
  <c r="R40" i="22"/>
  <c r="N68" i="22"/>
  <c r="N67" i="22"/>
  <c r="M37" i="9"/>
  <c r="M39" i="9" s="1"/>
  <c r="M37" i="10"/>
  <c r="M39" i="10" s="1"/>
  <c r="M37" i="12"/>
  <c r="M39" i="12" s="1"/>
  <c r="M37" i="13"/>
  <c r="M39" i="13" s="1"/>
  <c r="M37" i="14"/>
  <c r="M39" i="14" s="1"/>
  <c r="M37" i="11"/>
  <c r="M39" i="11" s="1"/>
  <c r="M40" i="4"/>
  <c r="M57" i="9"/>
  <c r="M59" i="9" s="1"/>
  <c r="M57" i="10"/>
  <c r="M59" i="10" s="1"/>
  <c r="M57" i="11"/>
  <c r="M59" i="11" s="1"/>
  <c r="M57" i="13"/>
  <c r="M59" i="13" s="1"/>
  <c r="M57" i="14"/>
  <c r="M59" i="14" s="1"/>
  <c r="M57" i="12"/>
  <c r="M59" i="12" s="1"/>
  <c r="M79" i="22"/>
  <c r="M79" i="9"/>
  <c r="M79" i="12"/>
  <c r="M78" i="10"/>
  <c r="M78" i="11"/>
  <c r="N14" i="22"/>
  <c r="N17" i="22" s="1"/>
  <c r="N13" i="22"/>
  <c r="N72" i="22"/>
  <c r="R48" i="22" l="1"/>
  <c r="S32" i="22" s="1"/>
  <c r="R47" i="22"/>
  <c r="N20" i="22"/>
  <c r="N21" i="22"/>
  <c r="N24" i="22" s="1"/>
  <c r="M41" i="10"/>
  <c r="M42" i="10"/>
  <c r="M44" i="10" s="1"/>
  <c r="M86" i="10"/>
  <c r="M89" i="10" s="1"/>
  <c r="M92" i="10" s="1"/>
  <c r="M89" i="9"/>
  <c r="M92" i="9" s="1"/>
  <c r="M95" i="9" s="1"/>
  <c r="M41" i="9"/>
  <c r="M42" i="9" s="1"/>
  <c r="M83" i="14"/>
  <c r="M86" i="14" s="1"/>
  <c r="M89" i="14" s="1"/>
  <c r="M41" i="14"/>
  <c r="M42" i="14" s="1"/>
  <c r="M44" i="14" s="1"/>
  <c r="M41" i="13"/>
  <c r="M42" i="13" s="1"/>
  <c r="M76" i="13"/>
  <c r="M78" i="13" s="1"/>
  <c r="M85" i="13" s="1"/>
  <c r="M90" i="13"/>
  <c r="M93" i="13" s="1"/>
  <c r="M96" i="13" s="1"/>
  <c r="M89" i="12"/>
  <c r="M92" i="12" s="1"/>
  <c r="M95" i="12" s="1"/>
  <c r="M41" i="12"/>
  <c r="M12" i="8"/>
  <c r="O52" i="22"/>
  <c r="L21" i="8"/>
  <c r="L22" i="8" s="1"/>
  <c r="L24" i="8" s="1"/>
  <c r="M41" i="11"/>
  <c r="M44" i="11" s="1"/>
  <c r="M42" i="11"/>
  <c r="M86" i="11"/>
  <c r="M89" i="11" s="1"/>
  <c r="M92" i="11" s="1"/>
  <c r="M44" i="13" l="1"/>
  <c r="L62" i="10"/>
  <c r="L64" i="10" s="1"/>
  <c r="L77" i="10" s="1"/>
  <c r="L79" i="10" s="1"/>
  <c r="L62" i="9"/>
  <c r="L64" i="9" s="1"/>
  <c r="L78" i="9" s="1"/>
  <c r="L80" i="9" s="1"/>
  <c r="L82" i="9" s="1"/>
  <c r="L62" i="12"/>
  <c r="L64" i="12" s="1"/>
  <c r="L78" i="12" s="1"/>
  <c r="L80" i="12" s="1"/>
  <c r="L82" i="12" s="1"/>
  <c r="M20" i="5"/>
  <c r="M22" i="5" s="1"/>
  <c r="M30" i="5" s="1"/>
  <c r="M32" i="5" s="1"/>
  <c r="L62" i="13"/>
  <c r="L64" i="13" s="1"/>
  <c r="L62" i="11"/>
  <c r="L64" i="11" s="1"/>
  <c r="L77" i="11" s="1"/>
  <c r="L79" i="11" s="1"/>
  <c r="L62" i="14"/>
  <c r="L64" i="14" s="1"/>
  <c r="M94" i="14"/>
  <c r="M92" i="14"/>
  <c r="S33" i="22"/>
  <c r="S34" i="22"/>
  <c r="S37" i="22" s="1"/>
  <c r="M42" i="12"/>
  <c r="M44" i="12" s="1"/>
  <c r="M44" i="9"/>
  <c r="M98" i="12"/>
  <c r="M100" i="12"/>
  <c r="M97" i="10"/>
  <c r="M100" i="10" s="1"/>
  <c r="M95" i="10"/>
  <c r="M99" i="13"/>
  <c r="M101" i="13"/>
  <c r="O53" i="22"/>
  <c r="O54" i="22"/>
  <c r="O57" i="22" s="1"/>
  <c r="M97" i="11"/>
  <c r="M100" i="11"/>
  <c r="M61" i="11" s="1"/>
  <c r="M95" i="11"/>
  <c r="N27" i="22"/>
  <c r="N91" i="22" s="1"/>
  <c r="N38" i="4" s="1"/>
  <c r="N28" i="22"/>
  <c r="M42" i="4"/>
  <c r="M103" i="9"/>
  <c r="M61" i="9" s="1"/>
  <c r="M100" i="9"/>
  <c r="M98" i="9"/>
  <c r="N37" i="9" l="1"/>
  <c r="N39" i="9" s="1"/>
  <c r="N37" i="10"/>
  <c r="N39" i="10" s="1"/>
  <c r="N37" i="13"/>
  <c r="N39" i="13" s="1"/>
  <c r="N37" i="12"/>
  <c r="N39" i="12" s="1"/>
  <c r="N37" i="14"/>
  <c r="N39" i="14" s="1"/>
  <c r="N37" i="11"/>
  <c r="N39" i="11" s="1"/>
  <c r="N40" i="4"/>
  <c r="M61" i="10"/>
  <c r="O12" i="22"/>
  <c r="N73" i="22"/>
  <c r="M95" i="14"/>
  <c r="N91" i="14" s="1"/>
  <c r="M101" i="12"/>
  <c r="N97" i="12" s="1"/>
  <c r="M102" i="13"/>
  <c r="N98" i="13" s="1"/>
  <c r="N76" i="22"/>
  <c r="M43" i="4"/>
  <c r="M45" i="4" s="1"/>
  <c r="M104" i="13"/>
  <c r="M106" i="13" s="1"/>
  <c r="M61" i="13" s="1"/>
  <c r="M101" i="9"/>
  <c r="N97" i="9" s="1"/>
  <c r="M98" i="10"/>
  <c r="N94" i="10" s="1"/>
  <c r="S40" i="22"/>
  <c r="S41" i="22"/>
  <c r="S44" i="22" s="1"/>
  <c r="M98" i="11"/>
  <c r="N94" i="11" s="1"/>
  <c r="O61" i="22"/>
  <c r="O64" i="22" s="1"/>
  <c r="O60" i="22"/>
  <c r="M103" i="12"/>
  <c r="M61" i="12" s="1"/>
  <c r="M97" i="14"/>
  <c r="M61" i="14" s="1"/>
  <c r="S47" i="22" l="1"/>
  <c r="S48" i="22"/>
  <c r="T32" i="22" s="1"/>
  <c r="N41" i="11"/>
  <c r="N86" i="11"/>
  <c r="N89" i="11" s="1"/>
  <c r="N92" i="11" s="1"/>
  <c r="O68" i="22"/>
  <c r="O67" i="22"/>
  <c r="O15" i="5"/>
  <c r="O17" i="5" s="1"/>
  <c r="N77" i="22"/>
  <c r="N79" i="9"/>
  <c r="N78" i="10"/>
  <c r="N79" i="12"/>
  <c r="N78" i="11"/>
  <c r="N42" i="13"/>
  <c r="N41" i="13"/>
  <c r="N76" i="13"/>
  <c r="N78" i="13" s="1"/>
  <c r="N85" i="13" s="1"/>
  <c r="N90" i="13"/>
  <c r="N93" i="13" s="1"/>
  <c r="N96" i="13" s="1"/>
  <c r="N42" i="14"/>
  <c r="N83" i="14"/>
  <c r="N86" i="14" s="1"/>
  <c r="N89" i="14" s="1"/>
  <c r="N44" i="14"/>
  <c r="N41" i="14"/>
  <c r="N42" i="12"/>
  <c r="N41" i="12"/>
  <c r="N44" i="12" s="1"/>
  <c r="N89" i="12"/>
  <c r="N92" i="12" s="1"/>
  <c r="N95" i="12" s="1"/>
  <c r="O14" i="22"/>
  <c r="O17" i="22" s="1"/>
  <c r="O13" i="22"/>
  <c r="O72" i="22"/>
  <c r="N86" i="10"/>
  <c r="N89" i="10" s="1"/>
  <c r="N92" i="10" s="1"/>
  <c r="N41" i="10"/>
  <c r="N42" i="10" s="1"/>
  <c r="N12" i="8"/>
  <c r="M8" i="8"/>
  <c r="N41" i="9"/>
  <c r="N89" i="9"/>
  <c r="N92" i="9" s="1"/>
  <c r="N95" i="9" s="1"/>
  <c r="N42" i="9"/>
  <c r="N44" i="9"/>
  <c r="N44" i="10" l="1"/>
  <c r="N97" i="10"/>
  <c r="N100" i="10"/>
  <c r="N95" i="10"/>
  <c r="N98" i="10" s="1"/>
  <c r="O94" i="10" s="1"/>
  <c r="N101" i="13"/>
  <c r="N104" i="13"/>
  <c r="N106" i="13" s="1"/>
  <c r="N61" i="13" s="1"/>
  <c r="N99" i="13"/>
  <c r="N42" i="11"/>
  <c r="N44" i="11" s="1"/>
  <c r="N92" i="14"/>
  <c r="N94" i="14"/>
  <c r="N97" i="14"/>
  <c r="N61" i="14" s="1"/>
  <c r="N100" i="9"/>
  <c r="N98" i="9"/>
  <c r="N101" i="9" s="1"/>
  <c r="O97" i="9" s="1"/>
  <c r="N103" i="9"/>
  <c r="N61" i="9" s="1"/>
  <c r="N100" i="12"/>
  <c r="N98" i="12"/>
  <c r="N101" i="12" s="1"/>
  <c r="O97" i="12" s="1"/>
  <c r="N103" i="12"/>
  <c r="N61" i="12" s="1"/>
  <c r="N19" i="5"/>
  <c r="M15" i="8"/>
  <c r="M16" i="8" s="1"/>
  <c r="M19" i="8" s="1"/>
  <c r="O21" i="22"/>
  <c r="O24" i="22" s="1"/>
  <c r="O20" i="22"/>
  <c r="P52" i="22"/>
  <c r="N97" i="11"/>
  <c r="N100" i="11"/>
  <c r="N61" i="11" s="1"/>
  <c r="N95" i="11"/>
  <c r="N98" i="11" s="1"/>
  <c r="O94" i="11" s="1"/>
  <c r="N44" i="13"/>
  <c r="N57" i="9"/>
  <c r="N59" i="9" s="1"/>
  <c r="N57" i="10"/>
  <c r="N59" i="10" s="1"/>
  <c r="N79" i="22"/>
  <c r="N57" i="12"/>
  <c r="N59" i="12" s="1"/>
  <c r="N57" i="11"/>
  <c r="N59" i="11" s="1"/>
  <c r="N57" i="13"/>
  <c r="N59" i="13" s="1"/>
  <c r="N57" i="14"/>
  <c r="N59" i="14" s="1"/>
  <c r="T34" i="22"/>
  <c r="T37" i="22" s="1"/>
  <c r="T33" i="22"/>
  <c r="N42" i="4"/>
  <c r="M21" i="8" l="1"/>
  <c r="M22" i="8" s="1"/>
  <c r="M24" i="8" s="1"/>
  <c r="N95" i="14"/>
  <c r="O91" i="14" s="1"/>
  <c r="P54" i="22"/>
  <c r="P57" i="22" s="1"/>
  <c r="P53" i="22"/>
  <c r="N102" i="13"/>
  <c r="O98" i="13" s="1"/>
  <c r="N43" i="4"/>
  <c r="N45" i="4" s="1"/>
  <c r="N61" i="10"/>
  <c r="N8" i="8"/>
  <c r="O28" i="22"/>
  <c r="O27" i="22"/>
  <c r="T40" i="22"/>
  <c r="T41" i="22"/>
  <c r="T44" i="22" s="1"/>
  <c r="M62" i="9" l="1"/>
  <c r="M64" i="9" s="1"/>
  <c r="M78" i="9" s="1"/>
  <c r="M80" i="9" s="1"/>
  <c r="M82" i="9" s="1"/>
  <c r="N20" i="5"/>
  <c r="N22" i="5" s="1"/>
  <c r="N30" i="5" s="1"/>
  <c r="N32" i="5" s="1"/>
  <c r="M62" i="10"/>
  <c r="M64" i="10" s="1"/>
  <c r="M77" i="10" s="1"/>
  <c r="M79" i="10" s="1"/>
  <c r="M62" i="12"/>
  <c r="M64" i="12" s="1"/>
  <c r="M78" i="12" s="1"/>
  <c r="M80" i="12" s="1"/>
  <c r="M82" i="12" s="1"/>
  <c r="M62" i="13"/>
  <c r="M64" i="13" s="1"/>
  <c r="M62" i="11"/>
  <c r="M64" i="11" s="1"/>
  <c r="M77" i="11" s="1"/>
  <c r="M79" i="11" s="1"/>
  <c r="M62" i="14"/>
  <c r="M64" i="14" s="1"/>
  <c r="T48" i="22"/>
  <c r="U32" i="22" s="1"/>
  <c r="T47" i="22"/>
  <c r="O19" i="5"/>
  <c r="N15" i="8"/>
  <c r="N16" i="8" s="1"/>
  <c r="N19" i="8" s="1"/>
  <c r="P12" i="22"/>
  <c r="O73" i="22"/>
  <c r="P61" i="22"/>
  <c r="P64" i="22" s="1"/>
  <c r="P60" i="22"/>
  <c r="O91" i="22"/>
  <c r="O38" i="4" s="1"/>
  <c r="O76" i="22"/>
  <c r="O37" i="9" l="1"/>
  <c r="O39" i="9" s="1"/>
  <c r="O37" i="10"/>
  <c r="O39" i="10" s="1"/>
  <c r="O37" i="12"/>
  <c r="O39" i="12" s="1"/>
  <c r="O37" i="13"/>
  <c r="O39" i="13" s="1"/>
  <c r="O37" i="14"/>
  <c r="O39" i="14" s="1"/>
  <c r="O37" i="11"/>
  <c r="O39" i="11" s="1"/>
  <c r="O40" i="4"/>
  <c r="O78" i="10"/>
  <c r="O79" i="12"/>
  <c r="O79" i="9"/>
  <c r="O78" i="11"/>
  <c r="P13" i="22"/>
  <c r="P14" i="22"/>
  <c r="P17" i="22" s="1"/>
  <c r="P72" i="22"/>
  <c r="U33" i="22"/>
  <c r="U34" i="22"/>
  <c r="U37" i="22" s="1"/>
  <c r="P68" i="22"/>
  <c r="P67" i="22"/>
  <c r="N21" i="8"/>
  <c r="N22" i="8"/>
  <c r="N24" i="8" s="1"/>
  <c r="P15" i="5"/>
  <c r="P17" i="5" s="1"/>
  <c r="O77" i="22"/>
  <c r="N62" i="9" l="1"/>
  <c r="N64" i="9" s="1"/>
  <c r="N78" i="9" s="1"/>
  <c r="N80" i="9" s="1"/>
  <c r="N82" i="9" s="1"/>
  <c r="N62" i="10"/>
  <c r="N64" i="10" s="1"/>
  <c r="N77" i="10" s="1"/>
  <c r="N79" i="10" s="1"/>
  <c r="O20" i="5"/>
  <c r="O22" i="5" s="1"/>
  <c r="O30" i="5" s="1"/>
  <c r="O32" i="5" s="1"/>
  <c r="N62" i="12"/>
  <c r="N64" i="12" s="1"/>
  <c r="N78" i="12" s="1"/>
  <c r="N80" i="12" s="1"/>
  <c r="N82" i="12" s="1"/>
  <c r="N62" i="13"/>
  <c r="N64" i="13" s="1"/>
  <c r="N62" i="11"/>
  <c r="N64" i="11" s="1"/>
  <c r="N77" i="11" s="1"/>
  <c r="N79" i="11" s="1"/>
  <c r="N62" i="14"/>
  <c r="N64" i="14" s="1"/>
  <c r="O41" i="10"/>
  <c r="O86" i="10"/>
  <c r="O89" i="10" s="1"/>
  <c r="O92" i="10" s="1"/>
  <c r="Q52" i="22"/>
  <c r="U40" i="22"/>
  <c r="U41" i="22"/>
  <c r="U44" i="22" s="1"/>
  <c r="O57" i="9"/>
  <c r="O59" i="9" s="1"/>
  <c r="O57" i="10"/>
  <c r="O59" i="10" s="1"/>
  <c r="O57" i="12"/>
  <c r="O59" i="12" s="1"/>
  <c r="O79" i="22"/>
  <c r="O57" i="11"/>
  <c r="O59" i="11" s="1"/>
  <c r="O57" i="13"/>
  <c r="O59" i="13" s="1"/>
  <c r="O57" i="14"/>
  <c r="O59" i="14" s="1"/>
  <c r="O42" i="11"/>
  <c r="O44" i="11" s="1"/>
  <c r="O86" i="11"/>
  <c r="O89" i="11" s="1"/>
  <c r="O92" i="11" s="1"/>
  <c r="O41" i="11"/>
  <c r="O41" i="13"/>
  <c r="O76" i="13"/>
  <c r="O78" i="13" s="1"/>
  <c r="O85" i="13" s="1"/>
  <c r="O90" i="13"/>
  <c r="O93" i="13" s="1"/>
  <c r="O96" i="13" s="1"/>
  <c r="O12" i="8"/>
  <c r="P20" i="22"/>
  <c r="P21" i="22"/>
  <c r="P24" i="22" s="1"/>
  <c r="O83" i="14"/>
  <c r="O86" i="14" s="1"/>
  <c r="O89" i="14" s="1"/>
  <c r="O41" i="14"/>
  <c r="O42" i="14" s="1"/>
  <c r="O44" i="14" s="1"/>
  <c r="O41" i="12"/>
  <c r="O89" i="12"/>
  <c r="O92" i="12" s="1"/>
  <c r="O95" i="12" s="1"/>
  <c r="O41" i="9"/>
  <c r="O89" i="9"/>
  <c r="O92" i="9" s="1"/>
  <c r="O95" i="9" s="1"/>
  <c r="O44" i="12" l="1"/>
  <c r="U47" i="22"/>
  <c r="U48" i="22"/>
  <c r="O42" i="9"/>
  <c r="O44" i="9" s="1"/>
  <c r="O92" i="14"/>
  <c r="O95" i="14" s="1"/>
  <c r="P91" i="14" s="1"/>
  <c r="O94" i="14"/>
  <c r="O97" i="14"/>
  <c r="O61" i="14" s="1"/>
  <c r="O42" i="4"/>
  <c r="Q54" i="22"/>
  <c r="Q57" i="22" s="1"/>
  <c r="Q53" i="22"/>
  <c r="O101" i="13"/>
  <c r="O104" i="13"/>
  <c r="O99" i="13"/>
  <c r="O102" i="13" s="1"/>
  <c r="P98" i="13" s="1"/>
  <c r="O106" i="13"/>
  <c r="O61" i="13" s="1"/>
  <c r="O42" i="12"/>
  <c r="O100" i="12"/>
  <c r="O103" i="12"/>
  <c r="O61" i="12" s="1"/>
  <c r="O98" i="12"/>
  <c r="O101" i="12" s="1"/>
  <c r="P97" i="12" s="1"/>
  <c r="P27" i="22"/>
  <c r="P76" i="22" s="1"/>
  <c r="P28" i="22"/>
  <c r="O42" i="13"/>
  <c r="O42" i="10"/>
  <c r="O44" i="10" s="1"/>
  <c r="O98" i="9"/>
  <c r="O103" i="9"/>
  <c r="O61" i="9" s="1"/>
  <c r="O100" i="9"/>
  <c r="O97" i="11"/>
  <c r="O95" i="11"/>
  <c r="O98" i="11" s="1"/>
  <c r="P94" i="11" s="1"/>
  <c r="O100" i="11"/>
  <c r="O61" i="11" s="1"/>
  <c r="O97" i="10"/>
  <c r="O100" i="10"/>
  <c r="O95" i="10"/>
  <c r="O61" i="10" l="1"/>
  <c r="O8" i="8"/>
  <c r="O101" i="9"/>
  <c r="P97" i="9" s="1"/>
  <c r="O43" i="4"/>
  <c r="O45" i="4" s="1"/>
  <c r="O44" i="13"/>
  <c r="Q15" i="5"/>
  <c r="Q17" i="5" s="1"/>
  <c r="P77" i="22"/>
  <c r="P91" i="22"/>
  <c r="P38" i="4" s="1"/>
  <c r="Q61" i="22"/>
  <c r="Q64" i="22" s="1"/>
  <c r="Q60" i="22"/>
  <c r="Q12" i="22"/>
  <c r="P73" i="22"/>
  <c r="O98" i="10"/>
  <c r="P94" i="10" s="1"/>
  <c r="P37" i="9" l="1"/>
  <c r="P39" i="9" s="1"/>
  <c r="P37" i="12"/>
  <c r="P39" i="12" s="1"/>
  <c r="P37" i="10"/>
  <c r="P39" i="10" s="1"/>
  <c r="P37" i="11"/>
  <c r="P39" i="11" s="1"/>
  <c r="P37" i="14"/>
  <c r="P39" i="14" s="1"/>
  <c r="P37" i="13"/>
  <c r="P39" i="13" s="1"/>
  <c r="P40" i="4"/>
  <c r="P19" i="5"/>
  <c r="O15" i="8"/>
  <c r="O16" i="8" s="1"/>
  <c r="O19" i="8" s="1"/>
  <c r="P79" i="9"/>
  <c r="P78" i="10"/>
  <c r="P78" i="11"/>
  <c r="P79" i="12"/>
  <c r="Q68" i="22"/>
  <c r="Q67" i="22"/>
  <c r="Q13" i="22"/>
  <c r="Q14" i="22"/>
  <c r="Q17" i="22" s="1"/>
  <c r="Q72" i="22"/>
  <c r="P57" i="10"/>
  <c r="P59" i="10" s="1"/>
  <c r="P57" i="9"/>
  <c r="P59" i="9" s="1"/>
  <c r="P79" i="22"/>
  <c r="P57" i="12"/>
  <c r="P59" i="12" s="1"/>
  <c r="P57" i="11"/>
  <c r="P59" i="11" s="1"/>
  <c r="P57" i="14"/>
  <c r="P59" i="14" s="1"/>
  <c r="P57" i="13"/>
  <c r="P59" i="13" s="1"/>
  <c r="P12" i="8" l="1"/>
  <c r="P90" i="13"/>
  <c r="P93" i="13" s="1"/>
  <c r="P96" i="13" s="1"/>
  <c r="P41" i="13"/>
  <c r="P76" i="13"/>
  <c r="P78" i="13" s="1"/>
  <c r="P85" i="13" s="1"/>
  <c r="P83" i="14"/>
  <c r="P86" i="14" s="1"/>
  <c r="P89" i="14" s="1"/>
  <c r="P41" i="14"/>
  <c r="P42" i="14" s="1"/>
  <c r="P44" i="14" s="1"/>
  <c r="R52" i="22"/>
  <c r="P86" i="11"/>
  <c r="P89" i="11" s="1"/>
  <c r="P92" i="11" s="1"/>
  <c r="P42" i="11"/>
  <c r="P41" i="11"/>
  <c r="P44" i="11" s="1"/>
  <c r="P86" i="10"/>
  <c r="P89" i="10" s="1"/>
  <c r="P92" i="10" s="1"/>
  <c r="P41" i="10"/>
  <c r="P42" i="10" s="1"/>
  <c r="P44" i="10" s="1"/>
  <c r="Q20" i="22"/>
  <c r="Q21" i="22"/>
  <c r="Q24" i="22" s="1"/>
  <c r="P41" i="12"/>
  <c r="P89" i="12"/>
  <c r="P92" i="12" s="1"/>
  <c r="P95" i="12" s="1"/>
  <c r="P42" i="12"/>
  <c r="P44" i="12" s="1"/>
  <c r="O21" i="8"/>
  <c r="O22" i="8"/>
  <c r="O24" i="8" s="1"/>
  <c r="P42" i="9"/>
  <c r="P89" i="9"/>
  <c r="P92" i="9" s="1"/>
  <c r="P95" i="9" s="1"/>
  <c r="P41" i="9"/>
  <c r="P44" i="9" s="1"/>
  <c r="O62" i="9" l="1"/>
  <c r="O64" i="9" s="1"/>
  <c r="O78" i="9" s="1"/>
  <c r="O80" i="9" s="1"/>
  <c r="O82" i="9" s="1"/>
  <c r="P20" i="5"/>
  <c r="P22" i="5" s="1"/>
  <c r="P30" i="5" s="1"/>
  <c r="P32" i="5" s="1"/>
  <c r="O62" i="10"/>
  <c r="O64" i="10" s="1"/>
  <c r="O77" i="10" s="1"/>
  <c r="O79" i="10" s="1"/>
  <c r="O62" i="12"/>
  <c r="O64" i="12" s="1"/>
  <c r="O78" i="12" s="1"/>
  <c r="O80" i="12" s="1"/>
  <c r="O82" i="12" s="1"/>
  <c r="O62" i="13"/>
  <c r="O64" i="13" s="1"/>
  <c r="O62" i="14"/>
  <c r="O64" i="14" s="1"/>
  <c r="O62" i="11"/>
  <c r="O64" i="11" s="1"/>
  <c r="O77" i="11" s="1"/>
  <c r="O79" i="11" s="1"/>
  <c r="P42" i="4"/>
  <c r="Q27" i="22"/>
  <c r="Q28" i="22"/>
  <c r="R54" i="22"/>
  <c r="R57" i="22" s="1"/>
  <c r="R53" i="22"/>
  <c r="P42" i="13"/>
  <c r="P97" i="11"/>
  <c r="P95" i="11"/>
  <c r="P98" i="11" s="1"/>
  <c r="Q94" i="11" s="1"/>
  <c r="P100" i="11"/>
  <c r="P61" i="11" s="1"/>
  <c r="P98" i="12"/>
  <c r="P100" i="12"/>
  <c r="P95" i="10"/>
  <c r="P98" i="10" s="1"/>
  <c r="Q94" i="10" s="1"/>
  <c r="P100" i="10"/>
  <c r="P97" i="10"/>
  <c r="P101" i="13"/>
  <c r="P104" i="13"/>
  <c r="P99" i="13"/>
  <c r="P102" i="13" s="1"/>
  <c r="Q98" i="13" s="1"/>
  <c r="P98" i="9"/>
  <c r="P100" i="9"/>
  <c r="P106" i="13"/>
  <c r="P61" i="13" s="1"/>
  <c r="P92" i="14"/>
  <c r="P94" i="14"/>
  <c r="P101" i="9" l="1"/>
  <c r="Q97" i="9" s="1"/>
  <c r="R12" i="22"/>
  <c r="Q73" i="22"/>
  <c r="Q76" i="22"/>
  <c r="Q91" i="22"/>
  <c r="Q38" i="4" s="1"/>
  <c r="P103" i="12"/>
  <c r="P61" i="12" s="1"/>
  <c r="R61" i="22"/>
  <c r="R64" i="22" s="1"/>
  <c r="R60" i="22"/>
  <c r="P101" i="12"/>
  <c r="Q97" i="12" s="1"/>
  <c r="P97" i="14"/>
  <c r="P61" i="14" s="1"/>
  <c r="P95" i="14"/>
  <c r="Q91" i="14" s="1"/>
  <c r="P61" i="10"/>
  <c r="P43" i="4"/>
  <c r="P45" i="4" s="1"/>
  <c r="P44" i="13"/>
  <c r="P103" i="9"/>
  <c r="P61" i="9" s="1"/>
  <c r="Q37" i="9" l="1"/>
  <c r="Q39" i="9" s="1"/>
  <c r="Q37" i="10"/>
  <c r="Q39" i="10" s="1"/>
  <c r="Q37" i="12"/>
  <c r="Q39" i="12" s="1"/>
  <c r="Q37" i="11"/>
  <c r="Q39" i="11" s="1"/>
  <c r="Q37" i="13"/>
  <c r="Q39" i="13" s="1"/>
  <c r="Q37" i="14"/>
  <c r="Q39" i="14" s="1"/>
  <c r="Q40" i="4"/>
  <c r="R15" i="5"/>
  <c r="R17" i="5" s="1"/>
  <c r="Q77" i="22"/>
  <c r="R13" i="22"/>
  <c r="R14" i="22"/>
  <c r="R17" i="22" s="1"/>
  <c r="R72" i="22"/>
  <c r="P8" i="8"/>
  <c r="R67" i="22"/>
  <c r="R68" i="22"/>
  <c r="Q79" i="9"/>
  <c r="Q78" i="10"/>
  <c r="Q79" i="12"/>
  <c r="Q78" i="11"/>
  <c r="Q12" i="8" l="1"/>
  <c r="S52" i="22"/>
  <c r="Q83" i="14"/>
  <c r="Q86" i="14" s="1"/>
  <c r="Q89" i="14" s="1"/>
  <c r="Q41" i="14"/>
  <c r="Q44" i="14" s="1"/>
  <c r="Q42" i="14"/>
  <c r="Q90" i="13"/>
  <c r="Q93" i="13" s="1"/>
  <c r="Q96" i="13" s="1"/>
  <c r="Q41" i="13"/>
  <c r="Q76" i="13"/>
  <c r="Q78" i="13" s="1"/>
  <c r="Q85" i="13" s="1"/>
  <c r="Q41" i="11"/>
  <c r="Q44" i="11" s="1"/>
  <c r="Q42" i="11"/>
  <c r="Q86" i="11"/>
  <c r="Q89" i="11" s="1"/>
  <c r="Q92" i="11" s="1"/>
  <c r="R20" i="22"/>
  <c r="R21" i="22"/>
  <c r="R24" i="22" s="1"/>
  <c r="Q41" i="12"/>
  <c r="Q89" i="12"/>
  <c r="Q92" i="12" s="1"/>
  <c r="Q95" i="12" s="1"/>
  <c r="Q42" i="12"/>
  <c r="Q44" i="12" s="1"/>
  <c r="Q19" i="5"/>
  <c r="P15" i="8"/>
  <c r="P16" i="8" s="1"/>
  <c r="P19" i="8" s="1"/>
  <c r="Q41" i="10"/>
  <c r="Q86" i="10"/>
  <c r="Q89" i="10" s="1"/>
  <c r="Q92" i="10" s="1"/>
  <c r="Q57" i="9"/>
  <c r="Q59" i="9" s="1"/>
  <c r="Q57" i="10"/>
  <c r="Q59" i="10" s="1"/>
  <c r="Q57" i="12"/>
  <c r="Q59" i="12" s="1"/>
  <c r="Q57" i="11"/>
  <c r="Q59" i="11" s="1"/>
  <c r="Q79" i="22"/>
  <c r="Q57" i="14"/>
  <c r="Q59" i="14" s="1"/>
  <c r="Q57" i="13"/>
  <c r="Q59" i="13" s="1"/>
  <c r="Q41" i="9"/>
  <c r="Q44" i="9" s="1"/>
  <c r="Q42" i="9"/>
  <c r="Q89" i="9"/>
  <c r="Q92" i="9" s="1"/>
  <c r="Q95" i="9" s="1"/>
  <c r="Q97" i="10" l="1"/>
  <c r="Q100" i="10"/>
  <c r="Q95" i="10"/>
  <c r="Q100" i="12"/>
  <c r="Q103" i="12" s="1"/>
  <c r="Q61" i="12" s="1"/>
  <c r="Q98" i="12"/>
  <c r="Q42" i="10"/>
  <c r="Q44" i="10" s="1"/>
  <c r="Q42" i="4"/>
  <c r="Q94" i="14"/>
  <c r="Q97" i="14"/>
  <c r="Q61" i="14" s="1"/>
  <c r="Q92" i="14"/>
  <c r="R28" i="22"/>
  <c r="R27" i="22"/>
  <c r="R91" i="22" s="1"/>
  <c r="R38" i="4" s="1"/>
  <c r="Q42" i="13"/>
  <c r="Q43" i="4" s="1"/>
  <c r="S53" i="22"/>
  <c r="S54" i="22"/>
  <c r="S57" i="22" s="1"/>
  <c r="Q95" i="11"/>
  <c r="Q97" i="11"/>
  <c r="Q100" i="11"/>
  <c r="Q61" i="11" s="1"/>
  <c r="Q100" i="9"/>
  <c r="Q103" i="9"/>
  <c r="Q61" i="9" s="1"/>
  <c r="Q98" i="9"/>
  <c r="Q101" i="13"/>
  <c r="Q104" i="13"/>
  <c r="Q106" i="13" s="1"/>
  <c r="Q61" i="13" s="1"/>
  <c r="Q99" i="13"/>
  <c r="Q102" i="13" s="1"/>
  <c r="P21" i="8"/>
  <c r="P22" i="8" s="1"/>
  <c r="P24" i="8" s="1"/>
  <c r="P62" i="9" l="1"/>
  <c r="P64" i="9" s="1"/>
  <c r="P78" i="9" s="1"/>
  <c r="P80" i="9" s="1"/>
  <c r="P82" i="9" s="1"/>
  <c r="P62" i="10"/>
  <c r="P64" i="10" s="1"/>
  <c r="P77" i="10" s="1"/>
  <c r="P79" i="10" s="1"/>
  <c r="Q20" i="5"/>
  <c r="Q22" i="5" s="1"/>
  <c r="Q30" i="5" s="1"/>
  <c r="Q32" i="5" s="1"/>
  <c r="P62" i="12"/>
  <c r="P64" i="12" s="1"/>
  <c r="P78" i="12" s="1"/>
  <c r="P80" i="12" s="1"/>
  <c r="P82" i="12" s="1"/>
  <c r="P62" i="14"/>
  <c r="P64" i="14" s="1"/>
  <c r="P62" i="11"/>
  <c r="P64" i="11" s="1"/>
  <c r="P77" i="11" s="1"/>
  <c r="P79" i="11" s="1"/>
  <c r="P62" i="13"/>
  <c r="P64" i="13" s="1"/>
  <c r="Q45" i="4"/>
  <c r="Q98" i="11"/>
  <c r="Q101" i="12"/>
  <c r="R37" i="9"/>
  <c r="R39" i="9" s="1"/>
  <c r="R37" i="10"/>
  <c r="R39" i="10" s="1"/>
  <c r="R37" i="12"/>
  <c r="R39" i="12" s="1"/>
  <c r="R37" i="11"/>
  <c r="R39" i="11" s="1"/>
  <c r="R37" i="13"/>
  <c r="R39" i="13" s="1"/>
  <c r="R37" i="14"/>
  <c r="R39" i="14" s="1"/>
  <c r="R40" i="4"/>
  <c r="S12" i="22"/>
  <c r="R73" i="22"/>
  <c r="Q44" i="13"/>
  <c r="Q95" i="14"/>
  <c r="R76" i="22"/>
  <c r="Q61" i="10"/>
  <c r="Q8" i="8"/>
  <c r="S60" i="22"/>
  <c r="S61" i="22"/>
  <c r="S64" i="22" s="1"/>
  <c r="Q101" i="9"/>
  <c r="Q98" i="10"/>
  <c r="R89" i="12" l="1"/>
  <c r="R92" i="12" s="1"/>
  <c r="R95" i="12" s="1"/>
  <c r="R41" i="12"/>
  <c r="R42" i="12" s="1"/>
  <c r="R86" i="10"/>
  <c r="R89" i="10" s="1"/>
  <c r="R92" i="10" s="1"/>
  <c r="R41" i="10"/>
  <c r="R42" i="10" s="1"/>
  <c r="R44" i="10" s="1"/>
  <c r="R79" i="9"/>
  <c r="R78" i="10"/>
  <c r="R79" i="12"/>
  <c r="R78" i="11"/>
  <c r="R76" i="13"/>
  <c r="R78" i="13" s="1"/>
  <c r="R85" i="13" s="1"/>
  <c r="R90" i="13"/>
  <c r="R93" i="13" s="1"/>
  <c r="R96" i="13" s="1"/>
  <c r="R41" i="13"/>
  <c r="R42" i="4" s="1"/>
  <c r="R42" i="11"/>
  <c r="R86" i="11"/>
  <c r="R89" i="11" s="1"/>
  <c r="R92" i="11" s="1"/>
  <c r="R41" i="11"/>
  <c r="R44" i="11"/>
  <c r="R41" i="9"/>
  <c r="R89" i="9"/>
  <c r="R92" i="9" s="1"/>
  <c r="R95" i="9" s="1"/>
  <c r="S67" i="22"/>
  <c r="S68" i="22"/>
  <c r="S14" i="22"/>
  <c r="S17" i="22" s="1"/>
  <c r="S13" i="22"/>
  <c r="S72" i="22"/>
  <c r="S15" i="5"/>
  <c r="S17" i="5" s="1"/>
  <c r="R77" i="22"/>
  <c r="R12" i="8"/>
  <c r="R19" i="5"/>
  <c r="Q15" i="8"/>
  <c r="Q16" i="8" s="1"/>
  <c r="Q19" i="8" s="1"/>
  <c r="R41" i="14"/>
  <c r="R83" i="14"/>
  <c r="R86" i="14" s="1"/>
  <c r="R89" i="14" s="1"/>
  <c r="R42" i="14"/>
  <c r="R44" i="14" s="1"/>
  <c r="R42" i="9" l="1"/>
  <c r="R44" i="9" s="1"/>
  <c r="R106" i="13"/>
  <c r="R61" i="13" s="1"/>
  <c r="S21" i="22"/>
  <c r="S24" i="22" s="1"/>
  <c r="S20" i="22"/>
  <c r="R94" i="14"/>
  <c r="R97" i="14" s="1"/>
  <c r="R61" i="14" s="1"/>
  <c r="R92" i="14"/>
  <c r="R97" i="10"/>
  <c r="R100" i="10"/>
  <c r="R95" i="10"/>
  <c r="R98" i="10" s="1"/>
  <c r="S94" i="10" s="1"/>
  <c r="Q21" i="8"/>
  <c r="Q22" i="8" s="1"/>
  <c r="Q24" i="8" s="1"/>
  <c r="T52" i="22"/>
  <c r="R95" i="11"/>
  <c r="R97" i="11"/>
  <c r="R100" i="11"/>
  <c r="R61" i="11" s="1"/>
  <c r="R44" i="12"/>
  <c r="R57" i="9"/>
  <c r="R59" i="9" s="1"/>
  <c r="R79" i="22"/>
  <c r="R57" i="12"/>
  <c r="R59" i="12" s="1"/>
  <c r="R57" i="11"/>
  <c r="R59" i="11" s="1"/>
  <c r="R57" i="14"/>
  <c r="R59" i="14" s="1"/>
  <c r="R57" i="10"/>
  <c r="R59" i="10" s="1"/>
  <c r="R57" i="13"/>
  <c r="R59" i="13" s="1"/>
  <c r="R99" i="13"/>
  <c r="R102" i="13" s="1"/>
  <c r="S98" i="13" s="1"/>
  <c r="R101" i="13"/>
  <c r="R104" i="13"/>
  <c r="R98" i="12"/>
  <c r="R100" i="12"/>
  <c r="R103" i="12" s="1"/>
  <c r="R61" i="12" s="1"/>
  <c r="R98" i="9"/>
  <c r="R103" i="9"/>
  <c r="R61" i="9" s="1"/>
  <c r="R100" i="9"/>
  <c r="R42" i="13"/>
  <c r="R43" i="4" s="1"/>
  <c r="R45" i="4" s="1"/>
  <c r="Q62" i="9" l="1"/>
  <c r="Q64" i="9" s="1"/>
  <c r="Q78" i="9" s="1"/>
  <c r="Q80" i="9" s="1"/>
  <c r="Q82" i="9" s="1"/>
  <c r="Q62" i="10"/>
  <c r="Q64" i="10" s="1"/>
  <c r="Q77" i="10" s="1"/>
  <c r="Q79" i="10" s="1"/>
  <c r="R20" i="5"/>
  <c r="R22" i="5" s="1"/>
  <c r="R30" i="5" s="1"/>
  <c r="R32" i="5" s="1"/>
  <c r="Q62" i="12"/>
  <c r="Q64" i="12" s="1"/>
  <c r="Q78" i="12" s="1"/>
  <c r="Q80" i="12" s="1"/>
  <c r="Q82" i="12" s="1"/>
  <c r="Q62" i="11"/>
  <c r="Q64" i="11" s="1"/>
  <c r="Q77" i="11" s="1"/>
  <c r="Q79" i="11" s="1"/>
  <c r="Q62" i="13"/>
  <c r="Q64" i="13" s="1"/>
  <c r="Q62" i="14"/>
  <c r="Q64" i="14" s="1"/>
  <c r="R101" i="12"/>
  <c r="S97" i="12" s="1"/>
  <c r="T54" i="22"/>
  <c r="T57" i="22" s="1"/>
  <c r="T53" i="22"/>
  <c r="R61" i="10"/>
  <c r="R8" i="8"/>
  <c r="R98" i="11"/>
  <c r="S94" i="11" s="1"/>
  <c r="S27" i="22"/>
  <c r="S91" i="22" s="1"/>
  <c r="S38" i="4" s="1"/>
  <c r="S28" i="22"/>
  <c r="R95" i="14"/>
  <c r="S91" i="14" s="1"/>
  <c r="R101" i="9"/>
  <c r="S97" i="9" s="1"/>
  <c r="R44" i="13"/>
  <c r="T60" i="22" l="1"/>
  <c r="T61" i="22"/>
  <c r="T64" i="22" s="1"/>
  <c r="T12" i="22"/>
  <c r="S73" i="22"/>
  <c r="S37" i="9"/>
  <c r="S39" i="9" s="1"/>
  <c r="S37" i="12"/>
  <c r="S39" i="12" s="1"/>
  <c r="S37" i="11"/>
  <c r="S39" i="11" s="1"/>
  <c r="S37" i="13"/>
  <c r="S39" i="13" s="1"/>
  <c r="S37" i="14"/>
  <c r="S39" i="14" s="1"/>
  <c r="S37" i="10"/>
  <c r="S39" i="10" s="1"/>
  <c r="S40" i="4"/>
  <c r="S19" i="5"/>
  <c r="R15" i="8"/>
  <c r="R16" i="8" s="1"/>
  <c r="R19" i="8" s="1"/>
  <c r="S76" i="22"/>
  <c r="R22" i="8" l="1"/>
  <c r="R24" i="8"/>
  <c r="R21" i="8"/>
  <c r="S89" i="12"/>
  <c r="S92" i="12" s="1"/>
  <c r="S95" i="12" s="1"/>
  <c r="S41" i="12"/>
  <c r="S42" i="12"/>
  <c r="S44" i="12"/>
  <c r="S12" i="8"/>
  <c r="S42" i="11"/>
  <c r="S44" i="11" s="1"/>
  <c r="S41" i="11"/>
  <c r="S86" i="11"/>
  <c r="S89" i="11" s="1"/>
  <c r="S92" i="11" s="1"/>
  <c r="S41" i="9"/>
  <c r="S42" i="9" s="1"/>
  <c r="S89" i="9"/>
  <c r="S92" i="9" s="1"/>
  <c r="S95" i="9" s="1"/>
  <c r="S79" i="9"/>
  <c r="S78" i="10"/>
  <c r="S79" i="12"/>
  <c r="S78" i="11"/>
  <c r="T14" i="22"/>
  <c r="T17" i="22" s="1"/>
  <c r="T13" i="22"/>
  <c r="T72" i="22"/>
  <c r="S41" i="10"/>
  <c r="S42" i="10" s="1"/>
  <c r="S44" i="10" s="1"/>
  <c r="S86" i="10"/>
  <c r="S89" i="10" s="1"/>
  <c r="S92" i="10" s="1"/>
  <c r="T67" i="22"/>
  <c r="T68" i="22"/>
  <c r="T15" i="5"/>
  <c r="T17" i="5" s="1"/>
  <c r="S77" i="22"/>
  <c r="S41" i="14"/>
  <c r="S44" i="14"/>
  <c r="S83" i="14"/>
  <c r="S86" i="14" s="1"/>
  <c r="S89" i="14" s="1"/>
  <c r="S42" i="14"/>
  <c r="S41" i="13"/>
  <c r="S76" i="13"/>
  <c r="S78" i="13" s="1"/>
  <c r="S85" i="13" s="1"/>
  <c r="S90" i="13"/>
  <c r="S93" i="13" s="1"/>
  <c r="S96" i="13" s="1"/>
  <c r="S98" i="9" l="1"/>
  <c r="S100" i="9"/>
  <c r="T99" i="9" s="1"/>
  <c r="T21" i="22"/>
  <c r="T24" i="22" s="1"/>
  <c r="T20" i="22"/>
  <c r="S95" i="10"/>
  <c r="S98" i="10" s="1"/>
  <c r="T94" i="10" s="1"/>
  <c r="S97" i="10"/>
  <c r="T96" i="10" s="1"/>
  <c r="S100" i="10"/>
  <c r="S100" i="12"/>
  <c r="T99" i="12" s="1"/>
  <c r="S103" i="12"/>
  <c r="S61" i="12" s="1"/>
  <c r="S98" i="12"/>
  <c r="S101" i="12" s="1"/>
  <c r="T97" i="12" s="1"/>
  <c r="S57" i="10"/>
  <c r="S59" i="10" s="1"/>
  <c r="S57" i="9"/>
  <c r="S59" i="9" s="1"/>
  <c r="S79" i="22"/>
  <c r="S57" i="12"/>
  <c r="S59" i="12" s="1"/>
  <c r="S57" i="13"/>
  <c r="S59" i="13" s="1"/>
  <c r="S57" i="11"/>
  <c r="S59" i="11" s="1"/>
  <c r="S57" i="14"/>
  <c r="S59" i="14" s="1"/>
  <c r="S99" i="13"/>
  <c r="S101" i="13"/>
  <c r="T100" i="13" s="1"/>
  <c r="S104" i="13"/>
  <c r="S106" i="13" s="1"/>
  <c r="S61" i="13" s="1"/>
  <c r="U52" i="22"/>
  <c r="S44" i="9"/>
  <c r="S95" i="11"/>
  <c r="S97" i="11"/>
  <c r="T96" i="11" s="1"/>
  <c r="S94" i="14"/>
  <c r="T93" i="14" s="1"/>
  <c r="S97" i="14"/>
  <c r="S61" i="14" s="1"/>
  <c r="S92" i="14"/>
  <c r="S42" i="4"/>
  <c r="R62" i="9"/>
  <c r="R64" i="9" s="1"/>
  <c r="R78" i="9" s="1"/>
  <c r="R80" i="9" s="1"/>
  <c r="R82" i="9" s="1"/>
  <c r="S20" i="5"/>
  <c r="S22" i="5" s="1"/>
  <c r="S30" i="5" s="1"/>
  <c r="S32" i="5" s="1"/>
  <c r="R62" i="12"/>
  <c r="R64" i="12" s="1"/>
  <c r="R78" i="12" s="1"/>
  <c r="R80" i="12" s="1"/>
  <c r="R82" i="12" s="1"/>
  <c r="R62" i="11"/>
  <c r="R64" i="11" s="1"/>
  <c r="R77" i="11" s="1"/>
  <c r="R79" i="11" s="1"/>
  <c r="R62" i="10"/>
  <c r="R64" i="10" s="1"/>
  <c r="R77" i="10" s="1"/>
  <c r="R79" i="10" s="1"/>
  <c r="R62" i="14"/>
  <c r="R64" i="14" s="1"/>
  <c r="R62" i="13"/>
  <c r="R64" i="13" s="1"/>
  <c r="S42" i="13"/>
  <c r="T28" i="22" l="1"/>
  <c r="T27" i="22"/>
  <c r="T91" i="22" s="1"/>
  <c r="T38" i="4" s="1"/>
  <c r="S43" i="4"/>
  <c r="S44" i="13"/>
  <c r="U53" i="22"/>
  <c r="U54" i="22"/>
  <c r="U57" i="22" s="1"/>
  <c r="S103" i="9"/>
  <c r="S61" i="9" s="1"/>
  <c r="S61" i="10"/>
  <c r="S100" i="11"/>
  <c r="S61" i="11" s="1"/>
  <c r="S98" i="11"/>
  <c r="T94" i="11" s="1"/>
  <c r="S45" i="4"/>
  <c r="S102" i="13"/>
  <c r="T98" i="13" s="1"/>
  <c r="S95" i="14"/>
  <c r="T91" i="14" s="1"/>
  <c r="S101" i="9"/>
  <c r="T97" i="9" s="1"/>
  <c r="S8" i="8" l="1"/>
  <c r="T37" i="9"/>
  <c r="T39" i="9" s="1"/>
  <c r="T37" i="10"/>
  <c r="T39" i="10" s="1"/>
  <c r="T37" i="12"/>
  <c r="T39" i="12" s="1"/>
  <c r="T37" i="11"/>
  <c r="T39" i="11" s="1"/>
  <c r="T37" i="14"/>
  <c r="T39" i="14" s="1"/>
  <c r="T37" i="13"/>
  <c r="T39" i="13" s="1"/>
  <c r="T40" i="4"/>
  <c r="U60" i="22"/>
  <c r="U61" i="22"/>
  <c r="U64" i="22" s="1"/>
  <c r="U12" i="22"/>
  <c r="T73" i="22"/>
  <c r="T76" i="22"/>
  <c r="T41" i="12" l="1"/>
  <c r="T42" i="12" s="1"/>
  <c r="T89" i="12"/>
  <c r="T92" i="12" s="1"/>
  <c r="T95" i="12" s="1"/>
  <c r="T41" i="14"/>
  <c r="T42" i="14"/>
  <c r="T83" i="14"/>
  <c r="T86" i="14" s="1"/>
  <c r="T89" i="14" s="1"/>
  <c r="T44" i="14"/>
  <c r="U13" i="22"/>
  <c r="U14" i="22"/>
  <c r="U17" i="22" s="1"/>
  <c r="U72" i="22"/>
  <c r="U67" i="22"/>
  <c r="U68" i="22"/>
  <c r="T86" i="10"/>
  <c r="T89" i="10" s="1"/>
  <c r="T92" i="10" s="1"/>
  <c r="T42" i="10"/>
  <c r="T44" i="10"/>
  <c r="T41" i="10"/>
  <c r="T41" i="9"/>
  <c r="T42" i="9" s="1"/>
  <c r="T44" i="9" s="1"/>
  <c r="T89" i="9"/>
  <c r="T92" i="9" s="1"/>
  <c r="T95" i="9" s="1"/>
  <c r="T19" i="5"/>
  <c r="S15" i="8"/>
  <c r="S16" i="8" s="1"/>
  <c r="S19" i="8" s="1"/>
  <c r="T79" i="9"/>
  <c r="T78" i="10"/>
  <c r="T78" i="11"/>
  <c r="T79" i="12"/>
  <c r="T41" i="11"/>
  <c r="T42" i="11" s="1"/>
  <c r="T44" i="11" s="1"/>
  <c r="T86" i="11"/>
  <c r="T89" i="11" s="1"/>
  <c r="T92" i="11" s="1"/>
  <c r="T12" i="8"/>
  <c r="U15" i="5"/>
  <c r="U17" i="5" s="1"/>
  <c r="T77" i="22"/>
  <c r="T41" i="13"/>
  <c r="T90" i="13"/>
  <c r="T93" i="13" s="1"/>
  <c r="T96" i="13" s="1"/>
  <c r="T42" i="13"/>
  <c r="T44" i="13"/>
  <c r="T76" i="13"/>
  <c r="T78" i="13" s="1"/>
  <c r="T85" i="13" s="1"/>
  <c r="T97" i="11" l="1"/>
  <c r="U96" i="11" s="1"/>
  <c r="T100" i="11"/>
  <c r="T61" i="11" s="1"/>
  <c r="T95" i="11"/>
  <c r="T98" i="11" s="1"/>
  <c r="U94" i="11" s="1"/>
  <c r="T99" i="13"/>
  <c r="T102" i="13" s="1"/>
  <c r="U98" i="13" s="1"/>
  <c r="T101" i="13"/>
  <c r="U100" i="13" s="1"/>
  <c r="T44" i="12"/>
  <c r="T94" i="14"/>
  <c r="U93" i="14" s="1"/>
  <c r="T97" i="14"/>
  <c r="T61" i="14" s="1"/>
  <c r="T92" i="14"/>
  <c r="T95" i="14" s="1"/>
  <c r="U91" i="14" s="1"/>
  <c r="T42" i="4"/>
  <c r="T45" i="4" s="1"/>
  <c r="T57" i="9"/>
  <c r="T59" i="9" s="1"/>
  <c r="T79" i="22"/>
  <c r="T57" i="10"/>
  <c r="T59" i="10" s="1"/>
  <c r="T57" i="12"/>
  <c r="T59" i="12" s="1"/>
  <c r="T57" i="13"/>
  <c r="T59" i="13" s="1"/>
  <c r="T57" i="11"/>
  <c r="T59" i="11" s="1"/>
  <c r="T57" i="14"/>
  <c r="T59" i="14" s="1"/>
  <c r="T100" i="9"/>
  <c r="U99" i="9" s="1"/>
  <c r="T98" i="9"/>
  <c r="T100" i="12"/>
  <c r="U99" i="12" s="1"/>
  <c r="T98" i="12"/>
  <c r="T101" i="12" s="1"/>
  <c r="U97" i="12" s="1"/>
  <c r="T103" i="12"/>
  <c r="T61" i="12" s="1"/>
  <c r="S21" i="8"/>
  <c r="S22" i="8" s="1"/>
  <c r="S24" i="8" s="1"/>
  <c r="T43" i="4"/>
  <c r="T97" i="10"/>
  <c r="U96" i="10" s="1"/>
  <c r="T95" i="10"/>
  <c r="U20" i="22"/>
  <c r="U21" i="22"/>
  <c r="U24" i="22" s="1"/>
  <c r="S62" i="9" l="1"/>
  <c r="S64" i="9" s="1"/>
  <c r="S78" i="9" s="1"/>
  <c r="S80" i="9" s="1"/>
  <c r="S82" i="9" s="1"/>
  <c r="T20" i="5"/>
  <c r="T22" i="5" s="1"/>
  <c r="T30" i="5" s="1"/>
  <c r="T32" i="5" s="1"/>
  <c r="S62" i="10"/>
  <c r="S64" i="10" s="1"/>
  <c r="S77" i="10" s="1"/>
  <c r="S79" i="10" s="1"/>
  <c r="S62" i="11"/>
  <c r="S64" i="11" s="1"/>
  <c r="S77" i="11" s="1"/>
  <c r="S79" i="11" s="1"/>
  <c r="S62" i="14"/>
  <c r="S64" i="14" s="1"/>
  <c r="S62" i="13"/>
  <c r="S64" i="13" s="1"/>
  <c r="S62" i="12"/>
  <c r="S64" i="12" s="1"/>
  <c r="S78" i="12" s="1"/>
  <c r="S80" i="12" s="1"/>
  <c r="S82" i="12" s="1"/>
  <c r="U91" i="22"/>
  <c r="U38" i="4" s="1"/>
  <c r="U27" i="22"/>
  <c r="U76" i="22" s="1"/>
  <c r="U28" i="22"/>
  <c r="U73" i="22" s="1"/>
  <c r="T98" i="10"/>
  <c r="U94" i="10" s="1"/>
  <c r="T100" i="10"/>
  <c r="T103" i="9"/>
  <c r="T61" i="9" s="1"/>
  <c r="T101" i="9"/>
  <c r="U97" i="9" s="1"/>
  <c r="T104" i="13"/>
  <c r="T106" i="13" s="1"/>
  <c r="T61" i="13" s="1"/>
  <c r="U37" i="9" l="1"/>
  <c r="U37" i="12"/>
  <c r="U37" i="10"/>
  <c r="U37" i="13"/>
  <c r="U37" i="11"/>
  <c r="U37" i="14"/>
  <c r="W38" i="4"/>
  <c r="U40" i="4"/>
  <c r="T61" i="10"/>
  <c r="T8" i="8"/>
  <c r="U79" i="9"/>
  <c r="W79" i="9" s="1"/>
  <c r="U78" i="10"/>
  <c r="U79" i="12"/>
  <c r="W79" i="12" s="1"/>
  <c r="U78" i="11"/>
  <c r="V15" i="5"/>
  <c r="U77" i="22"/>
  <c r="X15" i="5"/>
  <c r="U57" i="9" l="1"/>
  <c r="U57" i="10"/>
  <c r="U79" i="22"/>
  <c r="U57" i="12"/>
  <c r="U57" i="13"/>
  <c r="U57" i="14"/>
  <c r="U57" i="11"/>
  <c r="W15" i="5"/>
  <c r="Y15" i="5" s="1"/>
  <c r="V17" i="5"/>
  <c r="W17" i="5" s="1"/>
  <c r="W37" i="13"/>
  <c r="U39" i="13"/>
  <c r="W37" i="14"/>
  <c r="U39" i="14"/>
  <c r="W37" i="11"/>
  <c r="U39" i="11"/>
  <c r="W37" i="10"/>
  <c r="U39" i="10"/>
  <c r="U12" i="8"/>
  <c r="W40" i="4"/>
  <c r="U19" i="5"/>
  <c r="T15" i="8"/>
  <c r="T16" i="8" s="1"/>
  <c r="T19" i="8" s="1"/>
  <c r="W37" i="12"/>
  <c r="U39" i="12"/>
  <c r="W37" i="9"/>
  <c r="U39" i="9"/>
  <c r="U41" i="11" l="1"/>
  <c r="W41" i="11" s="1"/>
  <c r="U86" i="11"/>
  <c r="W39" i="11"/>
  <c r="T21" i="8"/>
  <c r="T22" i="8" s="1"/>
  <c r="T24" i="8" s="1"/>
  <c r="W57" i="11"/>
  <c r="U59" i="11"/>
  <c r="U83" i="14"/>
  <c r="U41" i="14"/>
  <c r="W41" i="14" s="1"/>
  <c r="W39" i="14"/>
  <c r="W57" i="14"/>
  <c r="U59" i="14"/>
  <c r="W57" i="12"/>
  <c r="U59" i="12"/>
  <c r="W57" i="13"/>
  <c r="U59" i="13"/>
  <c r="W12" i="8"/>
  <c r="U41" i="9"/>
  <c r="W41" i="9" s="1"/>
  <c r="U89" i="9"/>
  <c r="W39" i="9"/>
  <c r="U41" i="13"/>
  <c r="U42" i="13"/>
  <c r="U44" i="13" s="1"/>
  <c r="W44" i="13" s="1"/>
  <c r="U90" i="13"/>
  <c r="U76" i="13"/>
  <c r="U78" i="13" s="1"/>
  <c r="U85" i="13" s="1"/>
  <c r="W39" i="13"/>
  <c r="G84" i="22"/>
  <c r="D49" i="2" s="1"/>
  <c r="G85" i="22"/>
  <c r="E49" i="2" s="1"/>
  <c r="U41" i="10"/>
  <c r="W41" i="10" s="1"/>
  <c r="U42" i="10"/>
  <c r="W42" i="10" s="1"/>
  <c r="U86" i="10"/>
  <c r="W39" i="10"/>
  <c r="X40" i="4" s="1"/>
  <c r="Y40" i="4" s="1"/>
  <c r="W57" i="10"/>
  <c r="U59" i="10"/>
  <c r="U89" i="12"/>
  <c r="U41" i="12"/>
  <c r="W41" i="12" s="1"/>
  <c r="W39" i="12"/>
  <c r="X38" i="4"/>
  <c r="Y38" i="4" s="1"/>
  <c r="W57" i="9"/>
  <c r="U59" i="9"/>
  <c r="T62" i="9" l="1"/>
  <c r="T64" i="9" s="1"/>
  <c r="T78" i="9" s="1"/>
  <c r="T80" i="9" s="1"/>
  <c r="T82" i="9" s="1"/>
  <c r="T62" i="10"/>
  <c r="T64" i="10" s="1"/>
  <c r="T77" i="10" s="1"/>
  <c r="T79" i="10" s="1"/>
  <c r="U20" i="5"/>
  <c r="U22" i="5" s="1"/>
  <c r="U30" i="5" s="1"/>
  <c r="U32" i="5" s="1"/>
  <c r="T62" i="12"/>
  <c r="T64" i="12" s="1"/>
  <c r="T78" i="12" s="1"/>
  <c r="T80" i="12" s="1"/>
  <c r="T82" i="12" s="1"/>
  <c r="T62" i="13"/>
  <c r="T64" i="13" s="1"/>
  <c r="T62" i="11"/>
  <c r="T64" i="11" s="1"/>
  <c r="T77" i="11" s="1"/>
  <c r="T79" i="11" s="1"/>
  <c r="T62" i="14"/>
  <c r="T64" i="14" s="1"/>
  <c r="U42" i="12"/>
  <c r="W42" i="12" s="1"/>
  <c r="U44" i="10"/>
  <c r="U92" i="12"/>
  <c r="W89" i="12"/>
  <c r="U42" i="4"/>
  <c r="W41" i="13"/>
  <c r="X42" i="4" s="1"/>
  <c r="W59" i="10"/>
  <c r="U92" i="9"/>
  <c r="W89" i="9"/>
  <c r="U86" i="14"/>
  <c r="W83" i="14"/>
  <c r="U42" i="11"/>
  <c r="W42" i="13"/>
  <c r="W59" i="13"/>
  <c r="W59" i="9"/>
  <c r="U42" i="9"/>
  <c r="W42" i="9" s="1"/>
  <c r="W59" i="12"/>
  <c r="U42" i="14"/>
  <c r="U89" i="11"/>
  <c r="W86" i="11"/>
  <c r="W59" i="11"/>
  <c r="U89" i="10"/>
  <c r="W86" i="10"/>
  <c r="X12" i="8" s="1"/>
  <c r="Y12" i="8" s="1"/>
  <c r="U93" i="13"/>
  <c r="W90" i="13"/>
  <c r="W59" i="14"/>
  <c r="W42" i="14" l="1"/>
  <c r="U44" i="14"/>
  <c r="W44" i="14" s="1"/>
  <c r="U92" i="10"/>
  <c r="W89" i="10"/>
  <c r="U43" i="4"/>
  <c r="W43" i="4" s="1"/>
  <c r="W42" i="11"/>
  <c r="X43" i="4" s="1"/>
  <c r="U44" i="11"/>
  <c r="W42" i="4"/>
  <c r="Y42" i="4" s="1"/>
  <c r="U45" i="4"/>
  <c r="W45" i="4" s="1"/>
  <c r="U44" i="12"/>
  <c r="U89" i="14"/>
  <c r="W86" i="14"/>
  <c r="U95" i="12"/>
  <c r="W92" i="12"/>
  <c r="U96" i="13"/>
  <c r="W93" i="13"/>
  <c r="U95" i="9"/>
  <c r="W92" i="9"/>
  <c r="U44" i="9"/>
  <c r="U92" i="11"/>
  <c r="W89" i="11"/>
  <c r="W44" i="10"/>
  <c r="X17" i="5"/>
  <c r="U98" i="12" l="1"/>
  <c r="U101" i="12" s="1"/>
  <c r="U100" i="12"/>
  <c r="U103" i="12" s="1"/>
  <c r="U99" i="13"/>
  <c r="U101" i="13"/>
  <c r="U104" i="13" s="1"/>
  <c r="W44" i="11"/>
  <c r="X45" i="4" s="1"/>
  <c r="Y45" i="4" s="1"/>
  <c r="Y43" i="4"/>
  <c r="U97" i="11"/>
  <c r="U100" i="11"/>
  <c r="U95" i="11"/>
  <c r="U98" i="11" s="1"/>
  <c r="W44" i="9"/>
  <c r="U94" i="14"/>
  <c r="U97" i="14" s="1"/>
  <c r="U92" i="14"/>
  <c r="U95" i="10"/>
  <c r="U97" i="10"/>
  <c r="U100" i="10" s="1"/>
  <c r="W44" i="12"/>
  <c r="U100" i="9"/>
  <c r="U103" i="9" s="1"/>
  <c r="U98" i="9"/>
  <c r="U61" i="9" l="1"/>
  <c r="W61" i="9" s="1"/>
  <c r="W103" i="9"/>
  <c r="U61" i="10"/>
  <c r="W61" i="10" s="1"/>
  <c r="U8" i="8"/>
  <c r="W100" i="10"/>
  <c r="U61" i="14"/>
  <c r="W61" i="14" s="1"/>
  <c r="W97" i="14"/>
  <c r="W104" i="13"/>
  <c r="U106" i="13"/>
  <c r="U61" i="12"/>
  <c r="W61" i="12" s="1"/>
  <c r="W103" i="12"/>
  <c r="U61" i="11"/>
  <c r="W61" i="11" s="1"/>
  <c r="W100" i="11"/>
  <c r="U98" i="10"/>
  <c r="U102" i="13"/>
  <c r="U101" i="9"/>
  <c r="U95" i="14"/>
  <c r="V19" i="5" l="1"/>
  <c r="W19" i="5" s="1"/>
  <c r="U15" i="8"/>
  <c r="W8" i="8"/>
  <c r="U61" i="13"/>
  <c r="W61" i="13" s="1"/>
  <c r="X19" i="5" s="1"/>
  <c r="W106" i="13"/>
  <c r="X15" i="8" s="1"/>
  <c r="X8" i="8" l="1"/>
  <c r="Y8" i="8" s="1"/>
  <c r="W15" i="8"/>
  <c r="Y15" i="8" s="1"/>
  <c r="U16" i="8"/>
  <c r="U19" i="8" s="1"/>
  <c r="Y19" i="5"/>
  <c r="U21" i="8" l="1"/>
  <c r="U22" i="8" s="1"/>
  <c r="U24" i="8" s="1"/>
  <c r="U62" i="9" l="1"/>
  <c r="U62" i="10"/>
  <c r="V20" i="5"/>
  <c r="U62" i="12"/>
  <c r="U62" i="13"/>
  <c r="U62" i="11"/>
  <c r="U62" i="14"/>
  <c r="W24" i="8"/>
  <c r="W62" i="14" l="1"/>
  <c r="U64" i="14"/>
  <c r="W64" i="14" s="1"/>
  <c r="W62" i="11"/>
  <c r="U64" i="11"/>
  <c r="W62" i="13"/>
  <c r="U64" i="13"/>
  <c r="W64" i="13" s="1"/>
  <c r="W62" i="12"/>
  <c r="U64" i="12"/>
  <c r="V22" i="5"/>
  <c r="V30" i="5" s="1"/>
  <c r="V32" i="5" s="1"/>
  <c r="B33" i="5" s="1"/>
  <c r="D58" i="2" s="1"/>
  <c r="W20" i="5"/>
  <c r="W62" i="10"/>
  <c r="U64" i="10"/>
  <c r="W62" i="9"/>
  <c r="X24" i="8" s="1"/>
  <c r="Y24" i="8" s="1"/>
  <c r="U64" i="9"/>
  <c r="Y20" i="5" l="1"/>
  <c r="W22" i="5"/>
  <c r="W64" i="12"/>
  <c r="U78" i="12"/>
  <c r="W64" i="9"/>
  <c r="U78" i="9"/>
  <c r="W64" i="10"/>
  <c r="U77" i="10"/>
  <c r="U79" i="10" s="1"/>
  <c r="W64" i="11"/>
  <c r="U77" i="11"/>
  <c r="U79" i="11" s="1"/>
  <c r="X20" i="5"/>
  <c r="X22" i="5" l="1"/>
  <c r="Y22" i="5" s="1"/>
  <c r="U80" i="9"/>
  <c r="W78" i="9"/>
  <c r="U80" i="12"/>
  <c r="W78" i="12"/>
  <c r="U82" i="12" l="1"/>
  <c r="W82" i="12" s="1"/>
  <c r="W80" i="12"/>
  <c r="U82" i="9"/>
  <c r="W82" i="9" s="1"/>
  <c r="W80" i="9"/>
</calcChain>
</file>

<file path=xl/sharedStrings.xml><?xml version="1.0" encoding="utf-8"?>
<sst xmlns="http://schemas.openxmlformats.org/spreadsheetml/2006/main" count="814" uniqueCount="281">
  <si>
    <t>DSCR</t>
  </si>
  <si>
    <t>SOURCES &amp; USES:</t>
  </si>
  <si>
    <t>TECHNICAL ASSUMPTIONS:</t>
  </si>
  <si>
    <t>1999 PROJECTS</t>
  </si>
  <si>
    <t>2000 PROJECTS</t>
  </si>
  <si>
    <t>Sources of Funds</t>
  </si>
  <si>
    <t>%</t>
  </si>
  <si>
    <t>000 $</t>
  </si>
  <si>
    <t xml:space="preserve">Total Equity </t>
  </si>
  <si>
    <t>Brownsville</t>
  </si>
  <si>
    <t>Caledonia</t>
  </si>
  <si>
    <t>New Albany</t>
  </si>
  <si>
    <t>Wheatland</t>
  </si>
  <si>
    <t>Wilton</t>
  </si>
  <si>
    <t>Bond Proceeds</t>
  </si>
  <si>
    <t>Total Sources</t>
  </si>
  <si>
    <t>Number of Turbines</t>
  </si>
  <si>
    <t>Tranche 1</t>
  </si>
  <si>
    <t>Tranche 2</t>
  </si>
  <si>
    <t>Tranche 3</t>
  </si>
  <si>
    <t>Total</t>
  </si>
  <si>
    <t>Amount ('000 $)</t>
  </si>
  <si>
    <t>Term (yrs)</t>
  </si>
  <si>
    <t>Final Maturity</t>
  </si>
  <si>
    <t>Average Life (yrs)</t>
  </si>
  <si>
    <t>Spread (%)</t>
  </si>
  <si>
    <t>All In Coupon Rate (%)</t>
  </si>
  <si>
    <t>Interest Income Rate</t>
  </si>
  <si>
    <t>DEPRECIATION ASSUMPTIONS:</t>
  </si>
  <si>
    <t>Initial Basis (000 $)</t>
  </si>
  <si>
    <t>Year</t>
  </si>
  <si>
    <t>Method</t>
  </si>
  <si>
    <t>Residual (%)</t>
  </si>
  <si>
    <t>Federal &amp; State Tax Depreciation</t>
  </si>
  <si>
    <t>MACRS</t>
  </si>
  <si>
    <t>SL</t>
  </si>
  <si>
    <t>TAX ASSUMPTIONS:</t>
  </si>
  <si>
    <t>Book Depreciation</t>
  </si>
  <si>
    <t>Federal Income Tax Rate</t>
  </si>
  <si>
    <t>State Income Tax Rate</t>
  </si>
  <si>
    <t>N/A</t>
  </si>
  <si>
    <t>SUMMARY OUTPUT:</t>
  </si>
  <si>
    <t>OPERATING COSTS ASSUMPTIONS:</t>
  </si>
  <si>
    <t>Min</t>
  </si>
  <si>
    <t>Avg.</t>
  </si>
  <si>
    <t>1999 Projects</t>
  </si>
  <si>
    <t>2000 Projects</t>
  </si>
  <si>
    <t>1999 &amp; 2000 Projects</t>
  </si>
  <si>
    <t>Fixed O&amp;M</t>
  </si>
  <si>
    <t>Variable O&amp;M</t>
  </si>
  <si>
    <t>TVA Capacity Curves:</t>
  </si>
  <si>
    <t>1998 $</t>
  </si>
  <si>
    <t>Nominal $</t>
  </si>
  <si>
    <t>(for Wilton Center)</t>
  </si>
  <si>
    <t>Southern ECAR Capacity Curves:</t>
  </si>
  <si>
    <t>(for Wheatland)</t>
  </si>
  <si>
    <t>('000 $)</t>
  </si>
  <si>
    <t>Revenue</t>
  </si>
  <si>
    <t>Demand Payment</t>
  </si>
  <si>
    <t xml:space="preserve">Variable Revenue </t>
  </si>
  <si>
    <t>Total Revenue</t>
  </si>
  <si>
    <t>Expense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</si>
  <si>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</si>
  <si>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</si>
  <si>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</si>
  <si>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</si>
  <si>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</si>
  <si>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</si>
  <si>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</si>
  <si>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</si>
  <si>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</si>
  <si>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Debt Service</t>
  </si>
  <si>
    <t>Pre Tax Cash Flow</t>
  </si>
  <si>
    <t>After Tax Cash Flow</t>
  </si>
  <si>
    <t>IRR Calculation</t>
  </si>
  <si>
    <t xml:space="preserve">   IRR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</si>
  <si>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</si>
  <si>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</si>
  <si>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</si>
  <si>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</si>
  <si>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</si>
  <si>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</si>
  <si>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15 Year MACRS Table</t>
  </si>
  <si>
    <t>STATE TAXES</t>
  </si>
  <si>
    <t>FEDERAL TAXES</t>
  </si>
  <si>
    <t>INCOME STATEMENT - WHEATLAND</t>
  </si>
  <si>
    <t>CASH FLOW - WHEATLAND</t>
  </si>
  <si>
    <t>Adjusted Gross Income Tax</t>
  </si>
  <si>
    <t>State Gross Receipts Taxes</t>
  </si>
  <si>
    <t>ALLOCATION</t>
  </si>
  <si>
    <t>Project</t>
  </si>
  <si>
    <t xml:space="preserve">   Sub Total</t>
  </si>
  <si>
    <t>INCOME STATEMENT - BROWNSVILLE</t>
  </si>
  <si>
    <t>INCOME STATEMENT - CALEDONIA</t>
  </si>
  <si>
    <t>INCOME STATEMENT - NEW ALBANY</t>
  </si>
  <si>
    <t>INCOME STATEMENT - WILTON</t>
  </si>
  <si>
    <t>Less Interest Payments</t>
  </si>
  <si>
    <t>Less Principal Payments</t>
  </si>
  <si>
    <t>Average Life</t>
  </si>
  <si>
    <t xml:space="preserve"> State Cash Taxes Benefit (Expense)</t>
  </si>
  <si>
    <t xml:space="preserve"> Federal Cash Taxes Benefit (Expense)</t>
  </si>
  <si>
    <t>Unhide Sub Debt, 1999 Columns</t>
  </si>
  <si>
    <t>ANNUAL CASH FLOW AND IRR</t>
  </si>
  <si>
    <t>Gleason</t>
  </si>
  <si>
    <t>Initial Book Value</t>
  </si>
  <si>
    <t>No. of Months in Operation</t>
  </si>
  <si>
    <t>% Depreciated</t>
  </si>
  <si>
    <t>Beginning Book Value</t>
  </si>
  <si>
    <t>Depreciation</t>
  </si>
  <si>
    <t>Ending Book Value</t>
  </si>
  <si>
    <t>GenCo</t>
  </si>
  <si>
    <t>Fixed Price Period</t>
  </si>
  <si>
    <t>Owner's Expense</t>
  </si>
  <si>
    <t>Annual Cost (000$ in Year 2000)</t>
  </si>
  <si>
    <t>Annual Escalator</t>
  </si>
  <si>
    <t>Tax Depreciation</t>
  </si>
  <si>
    <t>GENCO DEPRECIATION</t>
  </si>
  <si>
    <t>Project Cost</t>
  </si>
  <si>
    <t>Ending Value</t>
  </si>
  <si>
    <t>Beginning Value</t>
  </si>
  <si>
    <t>Close</t>
  </si>
  <si>
    <t>DEBT ISSUANCE</t>
  </si>
  <si>
    <t>Principal Payments</t>
  </si>
  <si>
    <t>ACTUAL DSCR</t>
  </si>
  <si>
    <t>Treasury (%)</t>
  </si>
  <si>
    <t>Term (years)</t>
  </si>
  <si>
    <t>Average Life (years)</t>
  </si>
  <si>
    <t>Average</t>
  </si>
  <si>
    <t>Minimum</t>
  </si>
  <si>
    <t>Time Factor</t>
  </si>
  <si>
    <t>Total State Taxes Utilizing NOLs</t>
  </si>
  <si>
    <t>State Taxable Income</t>
  </si>
  <si>
    <t>Plus Book Depreciation &amp; Amortization</t>
  </si>
  <si>
    <t>Current State Income Tax Expense (Benefit)</t>
  </si>
  <si>
    <t>Beginning NOL's</t>
  </si>
  <si>
    <t>New NOL's</t>
  </si>
  <si>
    <t>Expired NOL's</t>
  </si>
  <si>
    <t>NOL Utilization</t>
  </si>
  <si>
    <t>Ending NOL's</t>
  </si>
  <si>
    <t>Less: State Taxes</t>
  </si>
  <si>
    <t>Federal Tax Rate</t>
  </si>
  <si>
    <t>Federal Tax Expense/ (Benefit)</t>
  </si>
  <si>
    <t>Debt Closing Date</t>
  </si>
  <si>
    <t>Fixed Price Period:</t>
  </si>
  <si>
    <t>Accrued Interest</t>
  </si>
  <si>
    <t>Salvage Value</t>
  </si>
  <si>
    <t>GenCo Pre-Tax Cashflow (000 $)</t>
  </si>
  <si>
    <t>GenCo After-Tax Cashflow (000 $)</t>
  </si>
  <si>
    <t>GenCo EBITDA (000 $)</t>
  </si>
  <si>
    <t>GenCo Net Income (000 $)</t>
  </si>
  <si>
    <t>INCOME STATEMENT - GLEASON</t>
  </si>
  <si>
    <t>GENCO INCOME STATEMENT</t>
  </si>
  <si>
    <t>GENCO CASH FLOW</t>
  </si>
  <si>
    <t>Annual Generation (MWh)</t>
  </si>
  <si>
    <t>Numbers of Starts</t>
  </si>
  <si>
    <t>FINANCING ASSUMPTIONS:</t>
  </si>
  <si>
    <t>Debt Financing Summary:</t>
  </si>
  <si>
    <t>Equity Financing Summary:</t>
  </si>
  <si>
    <t>Equity Closing Date</t>
  </si>
  <si>
    <t>By Project Cost</t>
  </si>
  <si>
    <t>Check</t>
  </si>
  <si>
    <t>Principal</t>
  </si>
  <si>
    <t>By Cashflow</t>
  </si>
  <si>
    <t>ASSUMPTIONS</t>
  </si>
  <si>
    <t>SUMMARY OUTPUT</t>
  </si>
  <si>
    <t>Total Uses</t>
  </si>
  <si>
    <t>Sub Total</t>
  </si>
  <si>
    <t>Interest Income</t>
  </si>
  <si>
    <t>Plus Property Tax Liability</t>
  </si>
  <si>
    <t>Less Property Tax Expense</t>
  </si>
  <si>
    <t>GENCO FEDERAL TAXES</t>
  </si>
  <si>
    <t>CASH FLOW - CALEDONIA</t>
  </si>
  <si>
    <t>CASH FLOW - NEW ALBANY</t>
  </si>
  <si>
    <t>Adjusted Gross Income Rate</t>
  </si>
  <si>
    <t>State Adjusted Gross Income Tax</t>
  </si>
  <si>
    <t>Gross Receipts Tax Rate</t>
  </si>
  <si>
    <t>Gross Receipts Tax Liability</t>
  </si>
  <si>
    <t>Greater of Adjusted or Gross Receipts</t>
  </si>
  <si>
    <t>Franchise Tax Rate (Year 1)</t>
  </si>
  <si>
    <t>Franchise Tax Rate (Year 2-20)</t>
  </si>
  <si>
    <t>Paid-In-Capital</t>
  </si>
  <si>
    <t>SUPPLEMENTAL TAXES</t>
  </si>
  <si>
    <t>FRANCHISE TAX</t>
  </si>
  <si>
    <t>State Franchise Tax Rate</t>
  </si>
  <si>
    <t>State Franchise Tax Liability</t>
  </si>
  <si>
    <t>Franchise Tax</t>
  </si>
  <si>
    <t>STATE TAX &amp; FRANCHISE TAX - CALEDONIA</t>
  </si>
  <si>
    <t>Outstanding Debt</t>
  </si>
  <si>
    <t>Shareholders Equity &amp; Long Term Debt</t>
  </si>
  <si>
    <t>Property Taxes Liability</t>
  </si>
  <si>
    <t>STATE TAX &amp; FRANCHISE TAX - BROWNSVILLE</t>
  </si>
  <si>
    <t>STATE TAX &amp; FRANCHISE TAX - GLEASON</t>
  </si>
  <si>
    <t>Book Value of Assets</t>
  </si>
  <si>
    <t>Total Capitalization</t>
  </si>
  <si>
    <t>Total Project Cost</t>
  </si>
  <si>
    <t xml:space="preserve">Property Taxes Liability </t>
  </si>
  <si>
    <t>(for Brownsville, Caledonia, New Albany and Gleason)</t>
  </si>
  <si>
    <t>Property Taxes</t>
  </si>
  <si>
    <t>Federal Taxable Income</t>
  </si>
  <si>
    <t>Less: Tax Depreciation</t>
  </si>
  <si>
    <t>Less Tax Depreciation</t>
  </si>
  <si>
    <t>Tax Depreciation From Above</t>
  </si>
  <si>
    <t>Tax Depreciation From 6 Plants</t>
  </si>
  <si>
    <t>Difference</t>
  </si>
  <si>
    <t>Energy Payment</t>
  </si>
  <si>
    <t>Energy Charge ($/MWh)</t>
  </si>
  <si>
    <t>Greater of Book Value and Capitalization</t>
  </si>
  <si>
    <r>
      <t>Summer Capacity (MW)</t>
    </r>
    <r>
      <rPr>
        <vertAlign val="superscript"/>
        <sz val="9"/>
        <rFont val="Times New Roman"/>
        <family val="1"/>
      </rPr>
      <t>(1)</t>
    </r>
  </si>
  <si>
    <t>(1) Includes additional capacity of 20 MW at Caledonia and 15 MW at New Albany, with installation of evaporative coolers by June 2000.</t>
  </si>
  <si>
    <t xml:space="preserve">  GenCo's State Tax Benefit/(Expense)</t>
  </si>
  <si>
    <t xml:space="preserve">  GenCo's Federal Tax Benefit/(Expense)</t>
  </si>
  <si>
    <t>CASH FLOW - GLEASON</t>
  </si>
  <si>
    <t>CASH FLOW - WILTON</t>
  </si>
  <si>
    <t>CASH FLOW - BROWNSVILLE</t>
  </si>
  <si>
    <t>Total Debt</t>
  </si>
  <si>
    <t>Greater of Book Value or Capitalization</t>
  </si>
  <si>
    <t>After Tax Book Income</t>
  </si>
  <si>
    <t>STATE TAX &amp; FRANCHISE TAX - NEW ALBANY</t>
  </si>
  <si>
    <t>STATE TAX &amp; SUPPLEMENTAL TAX - WHEATLAND</t>
  </si>
  <si>
    <t>STATE TAX &amp; FRANCHISE TAX - WILTON</t>
  </si>
  <si>
    <t>Com Ed Capacity Curves:</t>
  </si>
  <si>
    <t>ICF Capacity Price Escalator</t>
  </si>
  <si>
    <t>ICF Base ($/kW-year)</t>
  </si>
  <si>
    <t>ICF Base ($/kW-year )</t>
  </si>
  <si>
    <t>ICF Base ($/kW-month)</t>
  </si>
  <si>
    <t>Required After-Tax Rate of Return (%)</t>
  </si>
  <si>
    <t>NOL Carryforward</t>
  </si>
  <si>
    <t>Total Federal Cash Taxes Payable/(Benefit)</t>
  </si>
  <si>
    <t xml:space="preserve">Franchise Tax </t>
  </si>
  <si>
    <t>Summer MW</t>
  </si>
  <si>
    <t xml:space="preserve">Treasury Rate (%) </t>
  </si>
  <si>
    <t>Amortization %</t>
  </si>
  <si>
    <t>1999 Peakers</t>
  </si>
  <si>
    <t>2000 Peakers</t>
  </si>
  <si>
    <t>Uses of Funds</t>
  </si>
  <si>
    <t>1999 Plants</t>
  </si>
  <si>
    <t>2000 Plants</t>
  </si>
  <si>
    <t>POWER PRICE ASSUMPTION</t>
  </si>
  <si>
    <t>Difference in Revenue</t>
  </si>
  <si>
    <t xml:space="preserve">NPV </t>
  </si>
  <si>
    <t>EBITDA less Contract Amortization</t>
  </si>
  <si>
    <t>Pretax Book Income less Contract Amortization</t>
  </si>
  <si>
    <t>All-in Coupon Rate (%)</t>
  </si>
  <si>
    <t>Total State &amp; Misc. Taxes</t>
  </si>
  <si>
    <t>Difference Between ICF Capacity Price and Fixed Capacity Price</t>
  </si>
  <si>
    <t>Weighted Average Heat Rate (Btu/kWh)</t>
  </si>
  <si>
    <t>Summer Heat Rate (HHV, Btu/kWh)</t>
  </si>
  <si>
    <t>Pre-Tax Cash Flow</t>
  </si>
  <si>
    <t>After-Tax Cash Flow</t>
  </si>
  <si>
    <t>Start Charge</t>
  </si>
  <si>
    <t>Start Charge ($/Start/Turbine)</t>
  </si>
  <si>
    <t>Merchant Price Period</t>
  </si>
  <si>
    <t>Merchant Price Period:</t>
  </si>
  <si>
    <t>Equity's After-Tax Returns with Salvage Value (20 yrs)</t>
  </si>
  <si>
    <t>Major Maintenance ($/Start/Turbine)</t>
  </si>
  <si>
    <t>Major Maintenance Per Plant</t>
  </si>
  <si>
    <t>Major Maintenance</t>
  </si>
  <si>
    <t>PRICING ASSUMPTIONS:</t>
  </si>
  <si>
    <t>Fixed Price Demand Charge ($/kW-month)</t>
  </si>
  <si>
    <t>Wheatland Capacity Price Curve</t>
  </si>
  <si>
    <t>TVA Plants' Capacity Price Curve</t>
  </si>
  <si>
    <t>FIXED PRICE PERIOD</t>
  </si>
  <si>
    <t>MERCHANT PRICE PERIOD</t>
  </si>
  <si>
    <t>Wilton Capacity Price Curve</t>
  </si>
  <si>
    <t>Equity's Contribution</t>
  </si>
  <si>
    <t>Equity's After-Tax Cashflow</t>
  </si>
  <si>
    <t>Equity's Net Cashflow</t>
  </si>
  <si>
    <t>Salvage Value (2 x EBITDA) at the end of 20 years ($/kW)</t>
  </si>
  <si>
    <t>Power Contract Liability</t>
  </si>
  <si>
    <t>Amortization of Power Contract</t>
  </si>
  <si>
    <t>EBITDA less Amortization of Power Contract</t>
  </si>
  <si>
    <t>Pretax Book Income less Amortization of Power Contract</t>
  </si>
  <si>
    <t>AMORTIZATION OF POWER CONTRACT</t>
  </si>
  <si>
    <t>Retained Earnings (less Amortization of Power Contract)</t>
  </si>
  <si>
    <t>Merchant Period:</t>
  </si>
  <si>
    <t>Total Project Cost less Power Contract Liability</t>
  </si>
  <si>
    <t>Gross Receipts less Amortization of Power Contract</t>
  </si>
  <si>
    <t>Summer Capacity (MW)</t>
  </si>
  <si>
    <t>Variable O&amp;M ($/MWh)</t>
  </si>
  <si>
    <t>Property Tax Liability</t>
  </si>
  <si>
    <t>EBITDA less Power Contract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</si>
</sst>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1" formatCode="0.0000%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21" formatCode="#,##0.0"/>
    <numFmt numFmtId="222" formatCode="#,##0.00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1" formatCode="#,##0.0000000_);[Red]\(#,##0.0000000\)"/>
    <numFmt numFmtId="332" formatCode="#,##0.00000000_);[Red]\(#,##0.00000000\)"/>
    <numFmt numFmtId="333" formatCode="General_)"/>
    <numFmt numFmtId="334" formatCode="dd\-mmm_)"/>
    <numFmt numFmtId="335" formatCode="mmm\-dd"/>
    <numFmt numFmtId="336" formatCode="#,##0;\(#,##0\)"/>
    <numFmt numFmtId="337" formatCode="&quot;$&quot;#,##0;\(&quot;$&quot;#,##0\)"/>
    <numFmt numFmtId="338" formatCode="##0.000\ \¢"/>
    <numFmt numFmtId="339" formatCode="0.000E+00_)"/>
    <numFmt numFmtId="340" formatCode="&quot;$&quot;#,##0.0000000_);\(&quot;$&quot;#,##0.0000000\)"/>
    <numFmt numFmtId="341" formatCode="0.000000000"/>
    <numFmt numFmtId="342" formatCode="0.0000000000"/>
    <numFmt numFmtId="345" formatCode="&quot;$&quot;#,##0.000000000_);\(&quot;$&quot;#,##0.000000000\)"/>
    <numFmt numFmtId="346" formatCode="&quot;$&quot;#,##0.0000000000_);\(&quot;$&quot;#,##0.0000000000\)"/>
    <numFmt numFmtId="347" formatCode="&quot;$&quot;#,##0.000000_);[Red]\(&quot;$&quot;#,##0.000000\)"/>
    <numFmt numFmtId="348" formatCode="&quot;$&quot;#,##0.0000000_);[Red]\(&quot;$&quot;#,##0.0000000\)"/>
    <numFmt numFmtId="350" formatCode="0.0000000_)"/>
    <numFmt numFmtId="352" formatCode="0.000000000_)"/>
    <numFmt numFmtId="353" formatCode="#,##0.0000000000_);[Red]\(#,##0.0000000000\)"/>
    <numFmt numFmtId="354" formatCode="0.0E+00"/>
    <numFmt numFmtId="355" formatCode="0E+00"/>
    <numFmt numFmtId="357" formatCode="mm/dd/yy"/>
  </numFmts>
  <fonts count="105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b/>
      <sz val="11"/>
      <name val="Times New Roman"/>
      <family val="1"/>
    </font>
    <font>
      <i/>
      <u/>
      <sz val="10"/>
      <color indexed="10"/>
      <name val="Times New Roman"/>
      <family val="1"/>
    </font>
    <font>
      <b/>
      <sz val="7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b/>
      <sz val="12"/>
      <color indexed="12"/>
      <name val="Times New Roman"/>
      <family val="1"/>
    </font>
    <font>
      <i/>
      <u/>
      <sz val="12"/>
      <name val="Times New Roman"/>
      <family val="1"/>
    </font>
    <font>
      <sz val="8"/>
      <name val="Arial"/>
      <family val="2"/>
    </font>
    <font>
      <sz val="12"/>
      <name val="Times New Roman"/>
    </font>
    <font>
      <b/>
      <sz val="12"/>
      <color indexed="8"/>
      <name val="Times New Roman"/>
      <family val="1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8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20"/>
      <name val="Times New Roman"/>
      <family val="1"/>
    </font>
    <font>
      <b/>
      <i/>
      <sz val="10"/>
      <color indexed="10"/>
      <name val="Times New Roman"/>
      <family val="1"/>
    </font>
    <font>
      <i/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b/>
      <u/>
      <sz val="8"/>
      <name val="Times New Roman"/>
      <family val="1"/>
    </font>
    <font>
      <i/>
      <u/>
      <sz val="8"/>
      <name val="Times New Roman"/>
      <family val="1"/>
    </font>
    <font>
      <u/>
      <sz val="10"/>
      <color indexed="8"/>
      <name val="Times New Roman"/>
      <family val="1"/>
    </font>
    <font>
      <vertAlign val="superscript"/>
      <sz val="9"/>
      <name val="Times New Roman"/>
      <family val="1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45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8" fillId="0" borderId="0">
      <protection locked="0"/>
    </xf>
    <xf numFmtId="340" fontId="1" fillId="0" borderId="0" applyFont="0" applyFill="0" applyBorder="0" applyAlignment="0" applyProtection="0"/>
    <xf numFmtId="342" fontId="1" fillId="0" borderId="0" applyFont="0" applyFill="0" applyBorder="0" applyAlignment="0" applyProtection="0"/>
    <xf numFmtId="313" fontId="1" fillId="0" borderId="0">
      <protection locked="0"/>
    </xf>
    <xf numFmtId="38" fontId="41" fillId="4" borderId="0" applyNumberFormat="0" applyBorder="0" applyAlignment="0" applyProtection="0"/>
    <xf numFmtId="0" fontId="55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37" fillId="0" borderId="2" applyNumberFormat="0" applyFill="0" applyAlignment="0" applyProtection="0"/>
    <xf numFmtId="10" fontId="41" fillId="5" borderId="3" applyNumberFormat="0" applyBorder="0" applyAlignment="0" applyProtection="0"/>
    <xf numFmtId="37" fontId="57" fillId="0" borderId="0"/>
    <xf numFmtId="170" fontId="58" fillId="0" borderId="0"/>
    <xf numFmtId="0" fontId="1" fillId="0" borderId="0"/>
    <xf numFmtId="37" fontId="6" fillId="0" borderId="0" applyBorder="0" applyAlignment="0" applyProtection="0">
      <alignment horizontal="center"/>
    </xf>
    <xf numFmtId="0" fontId="1" fillId="0" borderId="0"/>
    <xf numFmtId="0" fontId="26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1" fontId="1" fillId="0" borderId="0"/>
    <xf numFmtId="38" fontId="41" fillId="8" borderId="0" applyNumberFormat="0" applyBorder="0" applyAlignment="0" applyProtection="0"/>
    <xf numFmtId="37" fontId="41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93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41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3" applyFont="1" applyFill="1" applyAlignment="1">
      <alignment horizontal="left"/>
    </xf>
    <xf numFmtId="43" fontId="3" fillId="0" borderId="0" xfId="3" applyFont="1" applyFill="1" applyAlignment="1">
      <alignment horizontal="left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66" fontId="3" fillId="0" borderId="0" xfId="3" applyNumberFormat="1" applyFont="1"/>
    <xf numFmtId="166" fontId="3" fillId="0" borderId="0" xfId="3" applyNumberFormat="1" applyFont="1" applyBorder="1" applyProtection="1"/>
    <xf numFmtId="0" fontId="3" fillId="0" borderId="0" xfId="0" applyFont="1" applyBorder="1" applyAlignment="1" applyProtection="1">
      <alignment horizontal="left"/>
    </xf>
    <xf numFmtId="166" fontId="3" fillId="0" borderId="0" xfId="3" applyNumberFormat="1" applyFont="1" applyBorder="1"/>
    <xf numFmtId="0" fontId="16" fillId="0" borderId="0" xfId="0" applyFont="1"/>
    <xf numFmtId="0" fontId="18" fillId="0" borderId="0" xfId="0" applyFont="1"/>
    <xf numFmtId="0" fontId="9" fillId="0" borderId="0" xfId="0" applyFont="1"/>
    <xf numFmtId="0" fontId="3" fillId="4" borderId="0" xfId="0" applyFont="1" applyFill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0" fontId="24" fillId="0" borderId="0" xfId="0" applyFont="1"/>
    <xf numFmtId="0" fontId="11" fillId="0" borderId="0" xfId="0" applyFont="1"/>
    <xf numFmtId="3" fontId="3" fillId="0" borderId="0" xfId="0" applyNumberFormat="1" applyFont="1"/>
    <xf numFmtId="3" fontId="2" fillId="0" borderId="0" xfId="0" applyNumberFormat="1" applyFont="1"/>
    <xf numFmtId="0" fontId="17" fillId="0" borderId="0" xfId="0" applyFont="1"/>
    <xf numFmtId="0" fontId="17" fillId="0" borderId="0" xfId="0" applyFont="1" applyBorder="1"/>
    <xf numFmtId="0" fontId="13" fillId="0" borderId="0" xfId="0" applyFont="1"/>
    <xf numFmtId="0" fontId="9" fillId="0" borderId="0" xfId="0" applyFont="1" applyFill="1"/>
    <xf numFmtId="43" fontId="9" fillId="0" borderId="0" xfId="3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166" fontId="15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7" fillId="0" borderId="0" xfId="0" applyFont="1" applyFill="1"/>
    <xf numFmtId="166" fontId="3" fillId="0" borderId="0" xfId="3" applyNumberFormat="1" applyFont="1" applyFill="1"/>
    <xf numFmtId="0" fontId="2" fillId="0" borderId="0" xfId="0" applyFont="1" applyFill="1" applyBorder="1"/>
    <xf numFmtId="0" fontId="29" fillId="0" borderId="0" xfId="0" applyFont="1" applyFill="1" applyBorder="1"/>
    <xf numFmtId="166" fontId="3" fillId="0" borderId="0" xfId="3" applyNumberFormat="1" applyFont="1" applyFill="1" applyBorder="1"/>
    <xf numFmtId="166" fontId="4" fillId="0" borderId="0" xfId="3" applyNumberFormat="1" applyFont="1" applyFill="1"/>
    <xf numFmtId="166" fontId="4" fillId="0" borderId="0" xfId="3" applyNumberFormat="1" applyFont="1" applyFill="1" applyBorder="1"/>
    <xf numFmtId="0" fontId="4" fillId="0" borderId="0" xfId="0" applyFont="1" applyFill="1" applyBorder="1"/>
    <xf numFmtId="6" fontId="15" fillId="0" borderId="0" xfId="0" applyNumberFormat="1" applyFont="1" applyFill="1"/>
    <xf numFmtId="0" fontId="9" fillId="0" borderId="0" xfId="0" applyFont="1" applyFill="1" applyBorder="1"/>
    <xf numFmtId="166" fontId="2" fillId="0" borderId="0" xfId="3" applyNumberFormat="1" applyFont="1" applyFill="1" applyBorder="1"/>
    <xf numFmtId="166" fontId="12" fillId="0" borderId="0" xfId="3" applyNumberFormat="1" applyFont="1" applyFill="1"/>
    <xf numFmtId="38" fontId="3" fillId="0" borderId="0" xfId="3" applyNumberFormat="1" applyFont="1" applyFill="1"/>
    <xf numFmtId="168" fontId="3" fillId="0" borderId="0" xfId="3" applyNumberFormat="1" applyFont="1" applyFill="1"/>
    <xf numFmtId="43" fontId="3" fillId="0" borderId="0" xfId="3" applyFont="1" applyFill="1" applyBorder="1"/>
    <xf numFmtId="0" fontId="24" fillId="0" borderId="0" xfId="0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0" fontId="31" fillId="0" borderId="0" xfId="0" applyFont="1" applyFill="1" applyBorder="1"/>
    <xf numFmtId="43" fontId="32" fillId="0" borderId="0" xfId="3" applyFont="1" applyFill="1" applyBorder="1"/>
    <xf numFmtId="9" fontId="32" fillId="0" borderId="0" xfId="22" applyFont="1" applyFill="1" applyBorder="1"/>
    <xf numFmtId="43" fontId="2" fillId="0" borderId="0" xfId="3" applyFont="1" applyFill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43" fontId="2" fillId="0" borderId="0" xfId="3" applyFont="1" applyFill="1" applyBorder="1"/>
    <xf numFmtId="43" fontId="5" fillId="0" borderId="0" xfId="3" applyFont="1" applyFill="1" applyBorder="1" applyAlignment="1">
      <alignment horizontal="left"/>
    </xf>
    <xf numFmtId="43" fontId="18" fillId="0" borderId="0" xfId="3" applyFont="1" applyFill="1" applyBorder="1" applyAlignment="1">
      <alignment horizontal="left"/>
    </xf>
    <xf numFmtId="168" fontId="3" fillId="0" borderId="0" xfId="3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9" fontId="2" fillId="0" borderId="0" xfId="22" applyFont="1" applyFill="1" applyBorder="1"/>
    <xf numFmtId="0" fontId="17" fillId="0" borderId="0" xfId="21" applyFont="1" applyFill="1" applyBorder="1" applyAlignment="1" applyProtection="1">
      <alignment horizontal="left"/>
    </xf>
    <xf numFmtId="0" fontId="17" fillId="0" borderId="0" xfId="21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0" fontId="18" fillId="0" borderId="0" xfId="21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18" fillId="0" borderId="0" xfId="0" applyNumberFormat="1" applyFont="1" applyFill="1" applyBorder="1" applyProtection="1"/>
    <xf numFmtId="166" fontId="14" fillId="0" borderId="0" xfId="3" applyNumberFormat="1" applyFont="1" applyFill="1" applyBorder="1"/>
    <xf numFmtId="166" fontId="3" fillId="0" borderId="0" xfId="0" applyNumberFormat="1" applyFont="1" applyFill="1" applyBorder="1"/>
    <xf numFmtId="41" fontId="14" fillId="0" borderId="0" xfId="0" applyNumberFormat="1" applyFont="1" applyFill="1" applyBorder="1"/>
    <xf numFmtId="41" fontId="2" fillId="0" borderId="0" xfId="0" applyNumberFormat="1" applyFont="1" applyFill="1" applyBorder="1"/>
    <xf numFmtId="41" fontId="18" fillId="0" borderId="0" xfId="0" applyNumberFormat="1" applyFont="1" applyFill="1" applyBorder="1"/>
    <xf numFmtId="0" fontId="14" fillId="0" borderId="0" xfId="0" applyFont="1" applyFill="1" applyBorder="1"/>
    <xf numFmtId="37" fontId="14" fillId="0" borderId="0" xfId="0" applyNumberFormat="1" applyFont="1" applyFill="1" applyBorder="1"/>
    <xf numFmtId="0" fontId="7" fillId="0" borderId="0" xfId="19" applyFont="1" applyFill="1" applyBorder="1"/>
    <xf numFmtId="0" fontId="2" fillId="0" borderId="0" xfId="19" applyFont="1" applyFill="1" applyBorder="1"/>
    <xf numFmtId="0" fontId="3" fillId="0" borderId="0" xfId="19" applyFont="1" applyFill="1" applyBorder="1"/>
    <xf numFmtId="0" fontId="2" fillId="0" borderId="0" xfId="19" applyFont="1" applyFill="1" applyBorder="1" applyAlignment="1">
      <alignment horizontal="center"/>
    </xf>
    <xf numFmtId="0" fontId="2" fillId="0" borderId="0" xfId="20" applyFont="1" applyFill="1" applyBorder="1"/>
    <xf numFmtId="0" fontId="3" fillId="0" borderId="0" xfId="20" applyFont="1" applyFill="1" applyBorder="1"/>
    <xf numFmtId="164" fontId="2" fillId="0" borderId="0" xfId="22" applyNumberFormat="1" applyFont="1" applyFill="1" applyBorder="1"/>
    <xf numFmtId="0" fontId="2" fillId="0" borderId="0" xfId="19" applyFont="1" applyFill="1" applyBorder="1" applyAlignment="1">
      <alignment horizontal="left"/>
    </xf>
    <xf numFmtId="41" fontId="3" fillId="0" borderId="0" xfId="19" applyNumberFormat="1" applyFont="1" applyFill="1" applyBorder="1"/>
    <xf numFmtId="168" fontId="3" fillId="0" borderId="0" xfId="3" applyNumberFormat="1" applyFont="1" applyFill="1" applyBorder="1" applyAlignment="1">
      <alignment horizontal="left"/>
    </xf>
    <xf numFmtId="10" fontId="3" fillId="0" borderId="0" xfId="22" applyNumberFormat="1" applyFont="1" applyFill="1" applyBorder="1"/>
    <xf numFmtId="43" fontId="4" fillId="0" borderId="0" xfId="3" applyFont="1" applyFill="1" applyBorder="1" applyAlignment="1">
      <alignment horizontal="left"/>
    </xf>
    <xf numFmtId="0" fontId="4" fillId="0" borderId="0" xfId="19" applyFont="1" applyFill="1" applyBorder="1"/>
    <xf numFmtId="43" fontId="33" fillId="0" borderId="0" xfId="3" applyFont="1" applyFill="1" applyBorder="1"/>
    <xf numFmtId="0" fontId="2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166" fontId="2" fillId="0" borderId="0" xfId="3" applyNumberFormat="1" applyFont="1" applyFill="1"/>
    <xf numFmtId="38" fontId="15" fillId="0" borderId="0" xfId="0" applyNumberFormat="1" applyFont="1" applyFill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0" fontId="22" fillId="0" borderId="0" xfId="0" applyFont="1" applyFill="1" applyBorder="1"/>
    <xf numFmtId="0" fontId="10" fillId="0" borderId="0" xfId="0" applyFont="1" applyFill="1"/>
    <xf numFmtId="38" fontId="3" fillId="0" borderId="0" xfId="0" applyNumberFormat="1" applyFont="1" applyFill="1"/>
    <xf numFmtId="38" fontId="3" fillId="0" borderId="4" xfId="3" applyNumberFormat="1" applyFont="1" applyFill="1" applyBorder="1"/>
    <xf numFmtId="38" fontId="3" fillId="0" borderId="0" xfId="3" applyNumberFormat="1" applyFont="1" applyFill="1" applyBorder="1"/>
    <xf numFmtId="38" fontId="4" fillId="0" borderId="0" xfId="3" applyNumberFormat="1" applyFont="1" applyFill="1"/>
    <xf numFmtId="38" fontId="4" fillId="0" borderId="0" xfId="3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9" fillId="0" borderId="0" xfId="0" applyNumberFormat="1" applyFont="1" applyFill="1"/>
    <xf numFmtId="38" fontId="15" fillId="0" borderId="0" xfId="3" applyNumberFormat="1" applyFont="1" applyFill="1"/>
    <xf numFmtId="38" fontId="2" fillId="0" borderId="0" xfId="3" applyNumberFormat="1" applyFont="1" applyFill="1" applyBorder="1"/>
    <xf numFmtId="38" fontId="9" fillId="0" borderId="0" xfId="3" applyNumberFormat="1" applyFont="1" applyFill="1"/>
    <xf numFmtId="37" fontId="10" fillId="0" borderId="0" xfId="18" applyFont="1" applyAlignment="1">
      <alignment horizontal="right"/>
    </xf>
    <xf numFmtId="0" fontId="10" fillId="0" borderId="0" xfId="0" applyFont="1" applyFill="1" applyBorder="1"/>
    <xf numFmtId="1" fontId="3" fillId="0" borderId="0" xfId="0" applyNumberFormat="1" applyFont="1" applyFill="1"/>
    <xf numFmtId="0" fontId="35" fillId="0" borderId="0" xfId="0" applyFont="1"/>
    <xf numFmtId="0" fontId="3" fillId="0" borderId="13" xfId="0" applyFont="1" applyBorder="1"/>
    <xf numFmtId="40" fontId="4" fillId="0" borderId="0" xfId="3" applyNumberFormat="1" applyFont="1" applyFill="1"/>
    <xf numFmtId="166" fontId="36" fillId="0" borderId="0" xfId="3" applyNumberFormat="1" applyFont="1"/>
    <xf numFmtId="38" fontId="3" fillId="0" borderId="0" xfId="0" applyNumberFormat="1" applyFont="1" applyBorder="1"/>
    <xf numFmtId="38" fontId="3" fillId="0" borderId="4" xfId="0" applyNumberFormat="1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14" fontId="24" fillId="0" borderId="0" xfId="0" applyNumberFormat="1" applyFont="1" applyFill="1" applyBorder="1" applyAlignment="1">
      <alignment horizontal="center"/>
    </xf>
    <xf numFmtId="166" fontId="15" fillId="0" borderId="0" xfId="3" applyNumberFormat="1" applyFont="1" applyFill="1" applyBorder="1"/>
    <xf numFmtId="3" fontId="3" fillId="0" borderId="0" xfId="0" applyNumberFormat="1" applyFont="1" applyFill="1" applyBorder="1"/>
    <xf numFmtId="166" fontId="10" fillId="0" borderId="0" xfId="3" applyNumberFormat="1" applyFont="1" applyFill="1" applyBorder="1"/>
    <xf numFmtId="37" fontId="10" fillId="0" borderId="0" xfId="18" applyFont="1" applyFill="1" applyAlignment="1"/>
    <xf numFmtId="37" fontId="10" fillId="0" borderId="0" xfId="18" applyFont="1" applyFill="1" applyAlignment="1">
      <alignment horizontal="right"/>
    </xf>
    <xf numFmtId="166" fontId="10" fillId="0" borderId="0" xfId="3" applyNumberFormat="1" applyFont="1" applyFill="1" applyBorder="1" applyProtection="1"/>
    <xf numFmtId="166" fontId="20" fillId="0" borderId="0" xfId="3" applyNumberFormat="1" applyFont="1" applyFill="1" applyBorder="1" applyProtection="1"/>
    <xf numFmtId="166" fontId="34" fillId="0" borderId="0" xfId="3" applyNumberFormat="1" applyFont="1" applyFill="1" applyBorder="1" applyProtection="1"/>
    <xf numFmtId="9" fontId="10" fillId="0" borderId="0" xfId="3" applyNumberFormat="1" applyFont="1" applyFill="1" applyBorder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5" fillId="0" borderId="7" xfId="0" applyFont="1" applyFill="1" applyBorder="1"/>
    <xf numFmtId="0" fontId="38" fillId="0" borderId="10" xfId="0" applyFont="1" applyBorder="1" applyAlignment="1" applyProtection="1">
      <alignment horizontal="left"/>
    </xf>
    <xf numFmtId="0" fontId="38" fillId="0" borderId="0" xfId="0" applyFont="1" applyBorder="1" applyAlignment="1">
      <alignment horizontal="center"/>
    </xf>
    <xf numFmtId="0" fontId="22" fillId="0" borderId="0" xfId="0" applyFont="1" applyBorder="1"/>
    <xf numFmtId="0" fontId="38" fillId="0" borderId="0" xfId="0" applyFont="1" applyBorder="1" applyAlignment="1" applyProtection="1">
      <alignment horizontal="left"/>
    </xf>
    <xf numFmtId="0" fontId="22" fillId="0" borderId="10" xfId="0" applyFont="1" applyBorder="1" applyAlignment="1" applyProtection="1">
      <alignment horizontal="left"/>
    </xf>
    <xf numFmtId="0" fontId="22" fillId="0" borderId="0" xfId="0" applyFont="1" applyBorder="1" applyAlignment="1" applyProtection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22" fillId="0" borderId="6" xfId="0" applyFont="1" applyBorder="1"/>
    <xf numFmtId="0" fontId="38" fillId="0" borderId="10" xfId="0" applyFont="1" applyBorder="1"/>
    <xf numFmtId="0" fontId="22" fillId="0" borderId="10" xfId="0" applyFont="1" applyBorder="1" applyAlignment="1">
      <alignment horizontal="left"/>
    </xf>
    <xf numFmtId="173" fontId="22" fillId="0" borderId="0" xfId="0" applyNumberFormat="1" applyFont="1" applyBorder="1" applyAlignment="1">
      <alignment horizontal="center"/>
    </xf>
    <xf numFmtId="0" fontId="38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8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22" fillId="0" borderId="7" xfId="0" applyFont="1" applyBorder="1"/>
    <xf numFmtId="0" fontId="22" fillId="0" borderId="8" xfId="0" applyFont="1" applyBorder="1"/>
    <xf numFmtId="0" fontId="30" fillId="4" borderId="0" xfId="0" applyFont="1" applyFill="1" applyBorder="1" applyAlignment="1">
      <alignment horizontal="center"/>
    </xf>
    <xf numFmtId="0" fontId="30" fillId="4" borderId="9" xfId="0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0" fontId="3" fillId="0" borderId="16" xfId="0" applyFont="1" applyBorder="1"/>
    <xf numFmtId="0" fontId="3" fillId="0" borderId="17" xfId="0" applyFont="1" applyBorder="1"/>
    <xf numFmtId="38" fontId="2" fillId="0" borderId="0" xfId="0" applyNumberFormat="1" applyFont="1"/>
    <xf numFmtId="166" fontId="3" fillId="0" borderId="4" xfId="3" applyNumberFormat="1" applyFont="1" applyBorder="1"/>
    <xf numFmtId="6" fontId="38" fillId="0" borderId="0" xfId="0" quotePrefix="1" applyNumberFormat="1" applyFont="1" applyBorder="1" applyAlignment="1">
      <alignment horizontal="center"/>
    </xf>
    <xf numFmtId="0" fontId="38" fillId="0" borderId="9" xfId="0" quotePrefix="1" applyFont="1" applyBorder="1" applyAlignment="1">
      <alignment horizontal="center"/>
    </xf>
    <xf numFmtId="7" fontId="22" fillId="0" borderId="0" xfId="3" applyNumberFormat="1" applyFont="1" applyBorder="1"/>
    <xf numFmtId="44" fontId="22" fillId="0" borderId="0" xfId="4" applyFont="1" applyFill="1" applyBorder="1"/>
    <xf numFmtId="2" fontId="22" fillId="0" borderId="0" xfId="0" applyNumberFormat="1" applyFont="1" applyBorder="1"/>
    <xf numFmtId="43" fontId="22" fillId="0" borderId="0" xfId="0" applyNumberFormat="1" applyFont="1" applyBorder="1"/>
    <xf numFmtId="0" fontId="22" fillId="0" borderId="0" xfId="0" applyFont="1" applyBorder="1" applyAlignment="1">
      <alignment horizontal="right"/>
    </xf>
    <xf numFmtId="0" fontId="19" fillId="0" borderId="0" xfId="3" applyNumberFormat="1" applyFont="1" applyBorder="1" applyAlignment="1">
      <alignment horizontal="right"/>
    </xf>
    <xf numFmtId="2" fontId="39" fillId="0" borderId="0" xfId="3" applyNumberFormat="1" applyFont="1" applyFill="1" applyBorder="1" applyAlignment="1">
      <alignment horizontal="right"/>
    </xf>
    <xf numFmtId="43" fontId="22" fillId="0" borderId="0" xfId="3" applyNumberFormat="1" applyFont="1" applyBorder="1" applyAlignment="1">
      <alignment horizontal="right"/>
    </xf>
    <xf numFmtId="44" fontId="22" fillId="0" borderId="0" xfId="4" applyFont="1" applyBorder="1" applyAlignment="1">
      <alignment horizontal="right"/>
    </xf>
    <xf numFmtId="44" fontId="22" fillId="0" borderId="0" xfId="4" applyFont="1" applyAlignment="1">
      <alignment horizontal="right"/>
    </xf>
    <xf numFmtId="9" fontId="39" fillId="0" borderId="0" xfId="0" applyNumberFormat="1" applyFont="1" applyBorder="1"/>
    <xf numFmtId="40" fontId="22" fillId="0" borderId="0" xfId="3" applyNumberFormat="1" applyFont="1" applyFill="1" applyBorder="1" applyAlignment="1">
      <alignment horizontal="right"/>
    </xf>
    <xf numFmtId="40" fontId="22" fillId="0" borderId="0" xfId="3" applyNumberFormat="1" applyFont="1" applyBorder="1" applyAlignment="1">
      <alignment horizontal="right"/>
    </xf>
    <xf numFmtId="40" fontId="38" fillId="0" borderId="0" xfId="3" applyNumberFormat="1" applyFont="1" applyBorder="1" applyAlignment="1">
      <alignment horizontal="right"/>
    </xf>
    <xf numFmtId="0" fontId="9" fillId="0" borderId="0" xfId="0" applyFont="1" applyBorder="1"/>
    <xf numFmtId="1" fontId="39" fillId="0" borderId="0" xfId="3" applyNumberFormat="1" applyFont="1" applyFill="1" applyBorder="1" applyAlignment="1">
      <alignment horizontal="right"/>
    </xf>
    <xf numFmtId="43" fontId="38" fillId="0" borderId="0" xfId="3" applyNumberFormat="1" applyFont="1" applyBorder="1" applyAlignment="1">
      <alignment horizontal="right"/>
    </xf>
    <xf numFmtId="7" fontId="22" fillId="0" borderId="0" xfId="3" applyNumberFormat="1" applyFont="1" applyBorder="1" applyAlignment="1">
      <alignment horizontal="right"/>
    </xf>
    <xf numFmtId="43" fontId="22" fillId="0" borderId="0" xfId="3" applyFont="1" applyBorder="1" applyAlignment="1">
      <alignment horizontal="right"/>
    </xf>
    <xf numFmtId="7" fontId="38" fillId="0" borderId="0" xfId="4" applyNumberFormat="1" applyFont="1" applyBorder="1"/>
    <xf numFmtId="166" fontId="20" fillId="0" borderId="0" xfId="3" applyNumberFormat="1" applyFont="1" applyFill="1" applyBorder="1"/>
    <xf numFmtId="43" fontId="9" fillId="0" borderId="0" xfId="3" applyFont="1" applyFill="1" applyAlignment="1">
      <alignment horizontal="left"/>
    </xf>
    <xf numFmtId="38" fontId="12" fillId="0" borderId="0" xfId="3" applyNumberFormat="1" applyFont="1" applyFill="1"/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166" fontId="3" fillId="0" borderId="0" xfId="3" applyNumberFormat="1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66" fontId="14" fillId="0" borderId="0" xfId="3" applyNumberFormat="1" applyFont="1" applyBorder="1" applyProtection="1"/>
    <xf numFmtId="166" fontId="15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0" fontId="19" fillId="0" borderId="0" xfId="0" applyFont="1" applyBorder="1"/>
    <xf numFmtId="0" fontId="40" fillId="0" borderId="0" xfId="0" applyFont="1" applyBorder="1"/>
    <xf numFmtId="43" fontId="38" fillId="0" borderId="0" xfId="3" applyFont="1" applyBorder="1" applyAlignment="1">
      <alignment horizontal="right"/>
    </xf>
    <xf numFmtId="0" fontId="15" fillId="0" borderId="0" xfId="0" applyFont="1"/>
    <xf numFmtId="0" fontId="2" fillId="0" borderId="9" xfId="0" applyFont="1" applyBorder="1"/>
    <xf numFmtId="40" fontId="3" fillId="0" borderId="9" xfId="0" applyNumberFormat="1" applyFont="1" applyBorder="1"/>
    <xf numFmtId="166" fontId="3" fillId="0" borderId="0" xfId="3" applyNumberFormat="1" applyFont="1" applyFill="1" applyBorder="1" applyProtection="1"/>
    <xf numFmtId="37" fontId="29" fillId="0" borderId="0" xfId="18" applyFont="1" applyBorder="1" applyAlignment="1"/>
    <xf numFmtId="37" fontId="29" fillId="0" borderId="0" xfId="18" applyFont="1" applyBorder="1" applyAlignment="1">
      <alignment horizontal="right"/>
    </xf>
    <xf numFmtId="0" fontId="13" fillId="0" borderId="0" xfId="0" applyFont="1" applyBorder="1"/>
    <xf numFmtId="0" fontId="24" fillId="0" borderId="0" xfId="0" applyFont="1" applyBorder="1"/>
    <xf numFmtId="165" fontId="10" fillId="0" borderId="0" xfId="4" applyNumberFormat="1" applyFont="1" applyBorder="1" applyProtection="1"/>
    <xf numFmtId="0" fontId="3" fillId="0" borderId="0" xfId="0" applyFont="1" applyBorder="1" applyAlignment="1">
      <alignment horizontal="center"/>
    </xf>
    <xf numFmtId="173" fontId="3" fillId="0" borderId="0" xfId="0" applyNumberFormat="1" applyFont="1" applyBorder="1" applyAlignment="1">
      <alignment horizontal="center"/>
    </xf>
    <xf numFmtId="0" fontId="18" fillId="0" borderId="0" xfId="0" applyFont="1" applyBorder="1"/>
    <xf numFmtId="38" fontId="22" fillId="0" borderId="0" xfId="3" applyNumberFormat="1" applyFont="1" applyBorder="1" applyAlignment="1">
      <alignment horizontal="center"/>
    </xf>
    <xf numFmtId="38" fontId="38" fillId="0" borderId="0" xfId="3" applyNumberFormat="1" applyFont="1" applyBorder="1" applyAlignment="1">
      <alignment horizontal="center"/>
    </xf>
    <xf numFmtId="38" fontId="22" fillId="0" borderId="9" xfId="3" applyNumberFormat="1" applyFont="1" applyBorder="1" applyAlignment="1">
      <alignment horizontal="center"/>
    </xf>
    <xf numFmtId="10" fontId="22" fillId="0" borderId="0" xfId="0" applyNumberFormat="1" applyFont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9" fontId="22" fillId="0" borderId="0" xfId="22" applyFont="1" applyFill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10" fontId="22" fillId="0" borderId="0" xfId="22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4" fontId="24" fillId="0" borderId="0" xfId="0" applyNumberFormat="1" applyFont="1" applyAlignment="1">
      <alignment horizontal="center"/>
    </xf>
    <xf numFmtId="14" fontId="2" fillId="0" borderId="6" xfId="0" applyNumberFormat="1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Continuous"/>
    </xf>
    <xf numFmtId="0" fontId="38" fillId="0" borderId="4" xfId="0" applyFont="1" applyFill="1" applyBorder="1" applyAlignment="1">
      <alignment horizontal="centerContinuous"/>
    </xf>
    <xf numFmtId="0" fontId="9" fillId="0" borderId="0" xfId="17" applyFont="1" applyFill="1" applyBorder="1"/>
    <xf numFmtId="0" fontId="19" fillId="0" borderId="0" xfId="0" applyFont="1" applyBorder="1" applyAlignment="1">
      <alignment horizontal="centerContinuous"/>
    </xf>
    <xf numFmtId="38" fontId="22" fillId="0" borderId="0" xfId="0" applyNumberFormat="1" applyFont="1"/>
    <xf numFmtId="10" fontId="22" fillId="0" borderId="0" xfId="0" applyNumberFormat="1" applyFont="1" applyBorder="1"/>
    <xf numFmtId="3" fontId="3" fillId="0" borderId="0" xfId="0" applyNumberFormat="1" applyFont="1" applyFill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166" fontId="3" fillId="8" borderId="0" xfId="3" applyNumberFormat="1" applyFont="1" applyFill="1"/>
    <xf numFmtId="166" fontId="2" fillId="8" borderId="0" xfId="3" applyNumberFormat="1" applyFont="1" applyFill="1"/>
    <xf numFmtId="166" fontId="3" fillId="8" borderId="4" xfId="3" applyNumberFormat="1" applyFont="1" applyFill="1" applyBorder="1"/>
    <xf numFmtId="0" fontId="19" fillId="0" borderId="6" xfId="0" applyFont="1" applyBorder="1"/>
    <xf numFmtId="38" fontId="19" fillId="0" borderId="13" xfId="3" applyNumberFormat="1" applyFont="1" applyBorder="1" applyAlignment="1">
      <alignment horizontal="center"/>
    </xf>
    <xf numFmtId="164" fontId="22" fillId="0" borderId="0" xfId="22" applyNumberFormat="1" applyFont="1" applyBorder="1" applyAlignment="1">
      <alignment horizontal="center"/>
    </xf>
    <xf numFmtId="9" fontId="19" fillId="0" borderId="6" xfId="0" applyNumberFormat="1" applyFont="1" applyBorder="1" applyAlignment="1">
      <alignment horizontal="center"/>
    </xf>
    <xf numFmtId="0" fontId="2" fillId="0" borderId="18" xfId="0" applyFont="1" applyBorder="1" applyAlignment="1"/>
    <xf numFmtId="0" fontId="3" fillId="0" borderId="11" xfId="0" applyFont="1" applyBorder="1"/>
    <xf numFmtId="164" fontId="3" fillId="0" borderId="17" xfId="22" applyNumberFormat="1" applyFont="1" applyBorder="1"/>
    <xf numFmtId="164" fontId="15" fillId="0" borderId="17" xfId="22" applyNumberFormat="1" applyFont="1" applyBorder="1"/>
    <xf numFmtId="166" fontId="10" fillId="0" borderId="19" xfId="3" applyNumberFormat="1" applyFont="1" applyBorder="1"/>
    <xf numFmtId="164" fontId="3" fillId="0" borderId="20" xfId="22" applyNumberFormat="1" applyFont="1" applyBorder="1"/>
    <xf numFmtId="0" fontId="94" fillId="0" borderId="0" xfId="0" applyFont="1"/>
    <xf numFmtId="10" fontId="38" fillId="0" borderId="0" xfId="0" applyNumberFormat="1" applyFont="1" applyBorder="1" applyAlignment="1" applyProtection="1">
      <alignment horizontal="center"/>
    </xf>
    <xf numFmtId="10" fontId="9" fillId="0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10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8" fillId="8" borderId="0" xfId="0" applyNumberFormat="1" applyFont="1" applyFill="1" applyBorder="1" applyAlignment="1">
      <alignment horizontal="center"/>
    </xf>
    <xf numFmtId="38" fontId="22" fillId="8" borderId="0" xfId="0" applyNumberFormat="1" applyFont="1" applyFill="1" applyBorder="1" applyAlignment="1">
      <alignment horizontal="center"/>
    </xf>
    <xf numFmtId="43" fontId="22" fillId="0" borderId="0" xfId="3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0" fontId="22" fillId="0" borderId="9" xfId="22" applyNumberFormat="1" applyFont="1" applyFill="1" applyBorder="1" applyAlignment="1">
      <alignment horizontal="center"/>
    </xf>
    <xf numFmtId="187" fontId="3" fillId="0" borderId="0" xfId="0" applyNumberFormat="1" applyFont="1"/>
    <xf numFmtId="164" fontId="3" fillId="0" borderId="0" xfId="22" applyNumberFormat="1" applyFont="1"/>
    <xf numFmtId="3" fontId="22" fillId="0" borderId="0" xfId="3" applyNumberFormat="1" applyFont="1" applyFill="1" applyBorder="1" applyAlignment="1">
      <alignment horizontal="center"/>
    </xf>
    <xf numFmtId="3" fontId="22" fillId="0" borderId="0" xfId="3" applyNumberFormat="1" applyFont="1" applyBorder="1" applyAlignment="1">
      <alignment horizontal="center"/>
    </xf>
    <xf numFmtId="0" fontId="19" fillId="0" borderId="10" xfId="0" applyFont="1" applyBorder="1"/>
    <xf numFmtId="10" fontId="43" fillId="0" borderId="3" xfId="22" applyNumberFormat="1" applyFont="1" applyFill="1" applyBorder="1" applyAlignment="1">
      <alignment horizontal="right"/>
    </xf>
    <xf numFmtId="0" fontId="2" fillId="4" borderId="0" xfId="0" applyFont="1" applyFill="1" applyAlignment="1" applyProtection="1">
      <alignment horizontal="left"/>
      <protection locked="0"/>
    </xf>
    <xf numFmtId="166" fontId="18" fillId="0" borderId="0" xfId="3" applyNumberFormat="1" applyFont="1"/>
    <xf numFmtId="9" fontId="3" fillId="0" borderId="0" xfId="22" applyFont="1"/>
    <xf numFmtId="0" fontId="2" fillId="0" borderId="11" xfId="0" applyFont="1" applyBorder="1" applyAlignment="1"/>
    <xf numFmtId="43" fontId="3" fillId="0" borderId="0" xfId="3" applyNumberFormat="1" applyFont="1"/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4" fontId="28" fillId="0" borderId="0" xfId="0" applyNumberFormat="1" applyFont="1" applyFill="1" applyBorder="1" applyAlignment="1">
      <alignment horizontal="center"/>
    </xf>
    <xf numFmtId="14" fontId="24" fillId="0" borderId="0" xfId="0" applyNumberFormat="1" applyFont="1" applyFill="1" applyAlignment="1">
      <alignment horizontal="center"/>
    </xf>
    <xf numFmtId="0" fontId="2" fillId="0" borderId="18" xfId="0" applyFont="1" applyBorder="1"/>
    <xf numFmtId="14" fontId="15" fillId="0" borderId="0" xfId="0" applyNumberFormat="1" applyFont="1" applyFill="1" applyAlignment="1">
      <alignment horizontal="center"/>
    </xf>
    <xf numFmtId="3" fontId="15" fillId="0" borderId="0" xfId="0" applyNumberFormat="1" applyFont="1"/>
    <xf numFmtId="179" fontId="17" fillId="0" borderId="0" xfId="0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173" fontId="3" fillId="0" borderId="16" xfId="0" applyNumberFormat="1" applyFont="1" applyFill="1" applyBorder="1" applyAlignment="1">
      <alignment horizontal="center"/>
    </xf>
    <xf numFmtId="173" fontId="15" fillId="0" borderId="17" xfId="0" applyNumberFormat="1" applyFont="1" applyFill="1" applyBorder="1" applyAlignment="1">
      <alignment horizontal="center"/>
    </xf>
    <xf numFmtId="0" fontId="3" fillId="0" borderId="19" xfId="0" applyFont="1" applyBorder="1" applyAlignment="1">
      <alignment horizontal="left"/>
    </xf>
    <xf numFmtId="173" fontId="3" fillId="0" borderId="20" xfId="0" applyNumberFormat="1" applyFont="1" applyBorder="1" applyAlignment="1">
      <alignment horizontal="center"/>
    </xf>
    <xf numFmtId="0" fontId="18" fillId="0" borderId="18" xfId="0" applyFont="1" applyBorder="1"/>
    <xf numFmtId="2" fontId="18" fillId="0" borderId="16" xfId="0" applyNumberFormat="1" applyFont="1" applyBorder="1" applyAlignment="1">
      <alignment horizontal="center"/>
    </xf>
    <xf numFmtId="0" fontId="18" fillId="0" borderId="11" xfId="0" applyFont="1" applyBorder="1"/>
    <xf numFmtId="4" fontId="3" fillId="0" borderId="17" xfId="0" applyNumberFormat="1" applyFont="1" applyBorder="1" applyAlignment="1">
      <alignment horizontal="center"/>
    </xf>
    <xf numFmtId="37" fontId="3" fillId="0" borderId="20" xfId="0" applyNumberFormat="1" applyFont="1" applyFill="1" applyBorder="1" applyAlignment="1">
      <alignment horizontal="center"/>
    </xf>
    <xf numFmtId="168" fontId="15" fillId="0" borderId="0" xfId="3" applyNumberFormat="1" applyFont="1"/>
    <xf numFmtId="166" fontId="3" fillId="0" borderId="4" xfId="3" applyNumberFormat="1" applyFont="1" applyBorder="1" applyAlignment="1" applyProtection="1">
      <alignment horizontal="left"/>
    </xf>
    <xf numFmtId="166" fontId="2" fillId="0" borderId="21" xfId="3" applyNumberFormat="1" applyFont="1" applyBorder="1"/>
    <xf numFmtId="166" fontId="3" fillId="0" borderId="4" xfId="3" applyNumberFormat="1" applyFont="1" applyFill="1" applyBorder="1"/>
    <xf numFmtId="0" fontId="13" fillId="0" borderId="0" xfId="0" applyFont="1" applyFill="1"/>
    <xf numFmtId="3" fontId="15" fillId="0" borderId="0" xfId="0" applyNumberFormat="1" applyFont="1" applyFill="1" applyBorder="1"/>
    <xf numFmtId="3" fontId="2" fillId="0" borderId="0" xfId="0" applyNumberFormat="1" applyFont="1" applyFill="1" applyBorder="1"/>
    <xf numFmtId="15" fontId="22" fillId="8" borderId="0" xfId="0" applyNumberFormat="1" applyFont="1" applyFill="1" applyBorder="1" applyAlignment="1">
      <alignment horizontal="center"/>
    </xf>
    <xf numFmtId="3" fontId="11" fillId="0" borderId="0" xfId="0" applyNumberFormat="1" applyFont="1"/>
    <xf numFmtId="0" fontId="17" fillId="0" borderId="22" xfId="0" applyFont="1" applyBorder="1"/>
    <xf numFmtId="166" fontId="3" fillId="0" borderId="0" xfId="0" applyNumberFormat="1" applyFont="1" applyBorder="1" applyAlignment="1">
      <alignment horizontal="left"/>
    </xf>
    <xf numFmtId="166" fontId="95" fillId="0" borderId="0" xfId="0" applyNumberFormat="1" applyFont="1" applyFill="1" applyBorder="1" applyAlignment="1">
      <alignment horizontal="left"/>
    </xf>
    <xf numFmtId="9" fontId="22" fillId="0" borderId="0" xfId="0" applyNumberFormat="1" applyFont="1" applyFill="1" applyBorder="1" applyAlignment="1">
      <alignment horizontal="center"/>
    </xf>
    <xf numFmtId="179" fontId="17" fillId="10" borderId="23" xfId="0" applyNumberFormat="1" applyFont="1" applyFill="1" applyBorder="1" applyAlignment="1">
      <alignment horizontal="right"/>
    </xf>
    <xf numFmtId="179" fontId="17" fillId="2" borderId="23" xfId="0" applyNumberFormat="1" applyFont="1" applyFill="1" applyBorder="1" applyAlignment="1">
      <alignment horizontal="right"/>
    </xf>
    <xf numFmtId="179" fontId="17" fillId="2" borderId="24" xfId="0" applyNumberFormat="1" applyFont="1" applyFill="1" applyBorder="1" applyAlignment="1">
      <alignment horizontal="right"/>
    </xf>
    <xf numFmtId="166" fontId="15" fillId="0" borderId="0" xfId="3" applyNumberFormat="1" applyFont="1" applyFill="1"/>
    <xf numFmtId="9" fontId="22" fillId="0" borderId="6" xfId="22" applyFont="1" applyFill="1" applyBorder="1" applyAlignment="1">
      <alignment horizontal="center"/>
    </xf>
    <xf numFmtId="0" fontId="15" fillId="0" borderId="0" xfId="0" applyFont="1" applyFill="1"/>
    <xf numFmtId="0" fontId="2" fillId="0" borderId="12" xfId="0" applyFont="1" applyBorder="1"/>
    <xf numFmtId="0" fontId="2" fillId="0" borderId="16" xfId="0" applyFont="1" applyBorder="1"/>
    <xf numFmtId="0" fontId="2" fillId="0" borderId="11" xfId="0" applyFont="1" applyBorder="1" applyAlignment="1">
      <alignment horizontal="left"/>
    </xf>
    <xf numFmtId="179" fontId="2" fillId="0" borderId="17" xfId="0" applyNumberFormat="1" applyFont="1" applyBorder="1"/>
    <xf numFmtId="0" fontId="2" fillId="0" borderId="19" xfId="0" applyFont="1" applyBorder="1" applyAlignment="1">
      <alignment horizontal="left"/>
    </xf>
    <xf numFmtId="0" fontId="2" fillId="0" borderId="4" xfId="0" applyFont="1" applyBorder="1"/>
    <xf numFmtId="179" fontId="2" fillId="0" borderId="20" xfId="0" applyNumberFormat="1" applyFont="1" applyBorder="1"/>
    <xf numFmtId="0" fontId="22" fillId="0" borderId="0" xfId="0" applyFont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10" fontId="22" fillId="8" borderId="0" xfId="22" applyNumberFormat="1" applyFont="1" applyFill="1" applyBorder="1" applyAlignment="1">
      <alignment horizontal="center"/>
    </xf>
    <xf numFmtId="40" fontId="22" fillId="8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22" fillId="0" borderId="0" xfId="0" applyNumberFormat="1" applyFont="1" applyFill="1" applyBorder="1" applyAlignment="1">
      <alignment horizontal="center"/>
    </xf>
    <xf numFmtId="10" fontId="22" fillId="0" borderId="9" xfId="0" applyNumberFormat="1" applyFont="1" applyFill="1" applyBorder="1" applyAlignment="1">
      <alignment horizontal="center"/>
    </xf>
    <xf numFmtId="40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8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8" fillId="0" borderId="8" xfId="0" applyFont="1" applyFill="1" applyBorder="1" applyAlignment="1">
      <alignment horizontal="center"/>
    </xf>
    <xf numFmtId="0" fontId="22" fillId="0" borderId="9" xfId="0" applyFont="1" applyFill="1" applyBorder="1" applyAlignment="1">
      <alignment horizontal="center"/>
    </xf>
    <xf numFmtId="10" fontId="22" fillId="8" borderId="6" xfId="22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40" fontId="22" fillId="0" borderId="0" xfId="0" applyNumberFormat="1" applyFont="1" applyBorder="1" applyAlignment="1">
      <alignment horizontal="center"/>
    </xf>
    <xf numFmtId="40" fontId="3" fillId="0" borderId="0" xfId="0" applyNumberFormat="1" applyFont="1" applyBorder="1" applyAlignment="1">
      <alignment horizontal="center"/>
    </xf>
    <xf numFmtId="38" fontId="3" fillId="4" borderId="0" xfId="0" applyNumberFormat="1" applyFont="1" applyFill="1"/>
    <xf numFmtId="10" fontId="3" fillId="0" borderId="0" xfId="0" applyNumberFormat="1" applyFont="1" applyFill="1" applyBorder="1" applyAlignment="1">
      <alignment horizontal="center"/>
    </xf>
    <xf numFmtId="38" fontId="96" fillId="0" borderId="0" xfId="0" applyNumberFormat="1" applyFont="1"/>
    <xf numFmtId="38" fontId="14" fillId="0" borderId="0" xfId="0" applyNumberFormat="1" applyFont="1"/>
    <xf numFmtId="38" fontId="9" fillId="0" borderId="0" xfId="0" applyNumberFormat="1" applyFont="1"/>
    <xf numFmtId="0" fontId="2" fillId="0" borderId="4" xfId="0" applyFont="1" applyBorder="1" applyAlignment="1">
      <alignment horizontal="center"/>
    </xf>
    <xf numFmtId="37" fontId="3" fillId="0" borderId="0" xfId="0" applyNumberFormat="1" applyFont="1" applyFill="1"/>
    <xf numFmtId="10" fontId="3" fillId="0" borderId="0" xfId="22" applyNumberFormat="1" applyFont="1" applyAlignment="1">
      <alignment horizontal="center"/>
    </xf>
    <xf numFmtId="3" fontId="22" fillId="8" borderId="0" xfId="3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9" fontId="22" fillId="8" borderId="0" xfId="3" applyNumberFormat="1" applyFont="1" applyFill="1" applyBorder="1" applyAlignment="1">
      <alignment horizontal="center"/>
    </xf>
    <xf numFmtId="3" fontId="22" fillId="0" borderId="0" xfId="0" applyNumberFormat="1" applyFont="1"/>
    <xf numFmtId="3" fontId="3" fillId="0" borderId="0" xfId="0" applyNumberFormat="1" applyFont="1" applyAlignment="1">
      <alignment horizontal="center"/>
    </xf>
    <xf numFmtId="0" fontId="0" fillId="0" borderId="0" xfId="0" applyBorder="1"/>
    <xf numFmtId="9" fontId="22" fillId="0" borderId="0" xfId="0" applyNumberFormat="1" applyFont="1" applyBorder="1" applyAlignment="1">
      <alignment horizontal="center"/>
    </xf>
    <xf numFmtId="2" fontId="3" fillId="0" borderId="0" xfId="0" applyNumberFormat="1" applyFont="1" applyBorder="1"/>
    <xf numFmtId="37" fontId="9" fillId="0" borderId="0" xfId="0" applyNumberFormat="1" applyFont="1" applyFill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39" fontId="9" fillId="0" borderId="0" xfId="0" applyNumberFormat="1" applyFont="1" applyFill="1" applyBorder="1" applyAlignment="1">
      <alignment horizontal="center"/>
    </xf>
    <xf numFmtId="173" fontId="9" fillId="0" borderId="0" xfId="22" applyNumberFormat="1" applyFont="1" applyFill="1" applyBorder="1" applyAlignment="1">
      <alignment horizontal="center"/>
    </xf>
    <xf numFmtId="173" fontId="19" fillId="0" borderId="0" xfId="22" applyNumberFormat="1" applyFont="1" applyFill="1" applyBorder="1" applyAlignment="1">
      <alignment horizontal="center"/>
    </xf>
    <xf numFmtId="37" fontId="9" fillId="8" borderId="0" xfId="0" applyNumberFormat="1" applyFont="1" applyFill="1" applyBorder="1" applyAlignment="1">
      <alignment horizontal="center"/>
    </xf>
    <xf numFmtId="43" fontId="22" fillId="0" borderId="0" xfId="3" applyFont="1" applyFill="1" applyBorder="1" applyAlignment="1">
      <alignment horizontal="right"/>
    </xf>
    <xf numFmtId="44" fontId="22" fillId="0" borderId="0" xfId="4" applyFont="1" applyFill="1" applyAlignment="1">
      <alignment horizontal="right"/>
    </xf>
    <xf numFmtId="0" fontId="97" fillId="0" borderId="0" xfId="0" applyFont="1" applyAlignment="1">
      <alignment horizontal="center"/>
    </xf>
    <xf numFmtId="0" fontId="98" fillId="0" borderId="0" xfId="0" applyFont="1"/>
    <xf numFmtId="166" fontId="97" fillId="0" borderId="0" xfId="0" applyNumberFormat="1" applyFont="1"/>
    <xf numFmtId="166" fontId="98" fillId="0" borderId="0" xfId="0" applyNumberFormat="1" applyFont="1"/>
    <xf numFmtId="0" fontId="98" fillId="0" borderId="0" xfId="0" applyFont="1" applyFill="1"/>
    <xf numFmtId="38" fontId="15" fillId="0" borderId="4" xfId="3" applyNumberFormat="1" applyFont="1" applyFill="1" applyBorder="1"/>
    <xf numFmtId="0" fontId="99" fillId="0" borderId="0" xfId="0" applyFont="1"/>
    <xf numFmtId="38" fontId="13" fillId="0" borderId="0" xfId="0" applyNumberFormat="1" applyFont="1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6" fontId="13" fillId="0" borderId="0" xfId="3" applyNumberFormat="1" applyFont="1" applyFill="1" applyBorder="1"/>
    <xf numFmtId="166" fontId="13" fillId="0" borderId="0" xfId="0" applyNumberFormat="1" applyFont="1"/>
    <xf numFmtId="166" fontId="99" fillId="0" borderId="0" xfId="3" applyNumberFormat="1" applyFont="1" applyFill="1" applyBorder="1"/>
    <xf numFmtId="0" fontId="3" fillId="0" borderId="5" xfId="0" applyFont="1" applyBorder="1"/>
    <xf numFmtId="10" fontId="2" fillId="0" borderId="0" xfId="22" applyNumberFormat="1" applyFont="1" applyFill="1"/>
    <xf numFmtId="166" fontId="2" fillId="0" borderId="5" xfId="3" applyNumberFormat="1" applyFont="1" applyFill="1" applyBorder="1"/>
    <xf numFmtId="10" fontId="2" fillId="0" borderId="5" xfId="22" applyNumberFormat="1" applyFont="1" applyFill="1" applyBorder="1"/>
    <xf numFmtId="10" fontId="3" fillId="0" borderId="0" xfId="22" applyNumberFormat="1" applyFont="1" applyFill="1"/>
    <xf numFmtId="10" fontId="15" fillId="0" borderId="0" xfId="22" applyNumberFormat="1" applyFont="1" applyFill="1"/>
    <xf numFmtId="0" fontId="7" fillId="4" borderId="0" xfId="17" applyFont="1" applyFill="1" applyBorder="1"/>
    <xf numFmtId="190" fontId="3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19" fillId="0" borderId="8" xfId="0" applyFont="1" applyBorder="1" applyAlignment="1">
      <alignment horizontal="centerContinuous"/>
    </xf>
    <xf numFmtId="166" fontId="2" fillId="0" borderId="0" xfId="3" applyNumberFormat="1" applyFont="1" applyFill="1" applyBorder="1" applyAlignment="1">
      <alignment horizontal="centerContinuous"/>
    </xf>
    <xf numFmtId="166" fontId="3" fillId="0" borderId="0" xfId="0" applyNumberFormat="1" applyFont="1" applyFill="1"/>
    <xf numFmtId="10" fontId="15" fillId="0" borderId="0" xfId="3" applyNumberFormat="1" applyFont="1" applyFill="1" applyBorder="1"/>
    <xf numFmtId="164" fontId="16" fillId="0" borderId="0" xfId="22" applyNumberFormat="1" applyFont="1"/>
    <xf numFmtId="166" fontId="13" fillId="0" borderId="0" xfId="0" applyNumberFormat="1" applyFont="1" applyFill="1" applyBorder="1"/>
    <xf numFmtId="166" fontId="99" fillId="0" borderId="0" xfId="0" applyNumberFormat="1" applyFont="1" applyFill="1" applyBorder="1"/>
    <xf numFmtId="166" fontId="13" fillId="0" borderId="0" xfId="3" applyNumberFormat="1" applyFont="1" applyFill="1"/>
    <xf numFmtId="166" fontId="2" fillId="0" borderId="0" xfId="3" applyNumberFormat="1" applyFont="1" applyFill="1" applyBorder="1" applyProtection="1"/>
    <xf numFmtId="0" fontId="10" fillId="0" borderId="0" xfId="0" applyFont="1" applyBorder="1"/>
    <xf numFmtId="0" fontId="41" fillId="0" borderId="0" xfId="0" applyFont="1"/>
    <xf numFmtId="1" fontId="10" fillId="0" borderId="0" xfId="0" applyNumberFormat="1" applyFont="1" applyBorder="1"/>
    <xf numFmtId="1" fontId="41" fillId="0" borderId="0" xfId="0" applyNumberFormat="1" applyFont="1" applyBorder="1"/>
    <xf numFmtId="166" fontId="41" fillId="0" borderId="0" xfId="3" applyNumberFormat="1" applyFont="1" applyBorder="1"/>
    <xf numFmtId="0" fontId="41" fillId="0" borderId="0" xfId="0" applyFont="1" applyBorder="1"/>
    <xf numFmtId="0" fontId="20" fillId="0" borderId="0" xfId="0" applyFont="1" applyBorder="1"/>
    <xf numFmtId="165" fontId="20" fillId="0" borderId="0" xfId="4" applyNumberFormat="1" applyFont="1" applyBorder="1" applyProtection="1"/>
    <xf numFmtId="0" fontId="10" fillId="0" borderId="0" xfId="0" applyFont="1" applyBorder="1" applyAlignment="1" applyProtection="1">
      <alignment horizontal="left"/>
    </xf>
    <xf numFmtId="165" fontId="3" fillId="0" borderId="0" xfId="4" applyNumberFormat="1" applyFont="1" applyBorder="1" applyProtection="1"/>
    <xf numFmtId="10" fontId="15" fillId="0" borderId="0" xfId="0" applyNumberFormat="1" applyFont="1" applyBorder="1"/>
    <xf numFmtId="165" fontId="2" fillId="0" borderId="0" xfId="4" applyNumberFormat="1" applyFont="1" applyBorder="1" applyProtection="1"/>
    <xf numFmtId="41" fontId="3" fillId="0" borderId="0" xfId="0" applyNumberFormat="1" applyFont="1" applyBorder="1"/>
    <xf numFmtId="166" fontId="3" fillId="0" borderId="0" xfId="0" applyNumberFormat="1" applyFont="1" applyBorder="1"/>
    <xf numFmtId="0" fontId="3" fillId="0" borderId="4" xfId="0" applyFont="1" applyFill="1" applyBorder="1" applyAlignment="1">
      <alignment horizontal="left"/>
    </xf>
    <xf numFmtId="166" fontId="18" fillId="0" borderId="0" xfId="3" applyNumberFormat="1" applyFont="1" applyBorder="1"/>
    <xf numFmtId="38" fontId="18" fillId="0" borderId="0" xfId="0" applyNumberFormat="1" applyFont="1" applyBorder="1"/>
    <xf numFmtId="166" fontId="102" fillId="0" borderId="0" xfId="3" applyNumberFormat="1" applyFont="1" applyBorder="1"/>
    <xf numFmtId="166" fontId="18" fillId="0" borderId="0" xfId="0" applyNumberFormat="1" applyFont="1" applyBorder="1"/>
    <xf numFmtId="0" fontId="3" fillId="0" borderId="0" xfId="0" applyNumberFormat="1" applyFont="1" applyFill="1" applyBorder="1" applyAlignment="1">
      <alignment horizontal="left"/>
    </xf>
    <xf numFmtId="10" fontId="18" fillId="0" borderId="0" xfId="0" applyNumberFormat="1" applyFont="1" applyBorder="1"/>
    <xf numFmtId="10" fontId="102" fillId="0" borderId="0" xfId="0" applyNumberFormat="1" applyFont="1" applyBorder="1"/>
    <xf numFmtId="38" fontId="13" fillId="0" borderId="0" xfId="0" applyNumberFormat="1" applyFont="1" applyFill="1" applyBorder="1"/>
    <xf numFmtId="3" fontId="3" fillId="0" borderId="0" xfId="0" applyNumberFormat="1" applyFont="1" applyBorder="1"/>
    <xf numFmtId="38" fontId="22" fillId="0" borderId="9" xfId="0" applyNumberFormat="1" applyFont="1" applyFill="1" applyBorder="1" applyAlignment="1">
      <alignment horizontal="center"/>
    </xf>
    <xf numFmtId="0" fontId="22" fillId="0" borderId="8" xfId="0" applyFont="1" applyFill="1" applyBorder="1"/>
    <xf numFmtId="0" fontId="3" fillId="0" borderId="9" xfId="0" applyFont="1" applyFill="1" applyBorder="1"/>
    <xf numFmtId="40" fontId="22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0" fontId="22" fillId="0" borderId="7" xfId="0" applyNumberFormat="1" applyFont="1" applyFill="1" applyBorder="1" applyAlignment="1">
      <alignment horizontal="center"/>
    </xf>
    <xf numFmtId="40" fontId="22" fillId="0" borderId="8" xfId="0" applyNumberFormat="1" applyFont="1" applyFill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8" fontId="3" fillId="8" borderId="0" xfId="0" applyNumberFormat="1" applyFont="1" applyFill="1"/>
    <xf numFmtId="4" fontId="22" fillId="0" borderId="0" xfId="0" applyNumberFormat="1" applyFont="1" applyFill="1" applyBorder="1" applyAlignment="1">
      <alignment horizontal="center"/>
    </xf>
    <xf numFmtId="39" fontId="3" fillId="0" borderId="0" xfId="3" applyNumberFormat="1" applyFont="1" applyFill="1" applyBorder="1" applyAlignment="1">
      <alignment horizontal="center"/>
    </xf>
    <xf numFmtId="189" fontId="3" fillId="0" borderId="0" xfId="0" applyNumberFormat="1" applyFont="1"/>
    <xf numFmtId="166" fontId="2" fillId="0" borderId="0" xfId="0" applyNumberFormat="1" applyFont="1" applyFill="1"/>
    <xf numFmtId="166" fontId="17" fillId="8" borderId="0" xfId="3" applyNumberFormat="1" applyFont="1" applyFill="1" applyBorder="1"/>
    <xf numFmtId="38" fontId="3" fillId="8" borderId="0" xfId="3" applyNumberFormat="1" applyFont="1" applyFill="1"/>
    <xf numFmtId="166" fontId="13" fillId="0" borderId="0" xfId="3" applyNumberFormat="1" applyFont="1"/>
    <xf numFmtId="166" fontId="99" fillId="0" borderId="0" xfId="3" applyNumberFormat="1" applyFont="1"/>
    <xf numFmtId="222" fontId="22" fillId="0" borderId="0" xfId="3" applyNumberFormat="1" applyFont="1" applyBorder="1" applyAlignment="1">
      <alignment horizontal="center"/>
    </xf>
    <xf numFmtId="0" fontId="0" fillId="0" borderId="9" xfId="0" applyBorder="1"/>
    <xf numFmtId="39" fontId="22" fillId="0" borderId="0" xfId="3" applyNumberFormat="1" applyFont="1" applyFill="1" applyBorder="1" applyAlignment="1">
      <alignment horizontal="center"/>
    </xf>
    <xf numFmtId="0" fontId="0" fillId="0" borderId="0" xfId="0" applyFill="1" applyBorder="1"/>
    <xf numFmtId="166" fontId="2" fillId="10" borderId="0" xfId="0" applyNumberFormat="1" applyFont="1" applyFill="1"/>
    <xf numFmtId="166" fontId="3" fillId="10" borderId="0" xfId="0" applyNumberFormat="1" applyFont="1" applyFill="1"/>
    <xf numFmtId="38" fontId="3" fillId="10" borderId="0" xfId="0" applyNumberFormat="1" applyFont="1" applyFill="1"/>
    <xf numFmtId="38" fontId="22" fillId="0" borderId="13" xfId="0" applyNumberFormat="1" applyFont="1" applyFill="1" applyBorder="1" applyAlignment="1">
      <alignment horizontal="center"/>
    </xf>
    <xf numFmtId="0" fontId="22" fillId="0" borderId="4" xfId="0" applyFont="1" applyBorder="1"/>
    <xf numFmtId="3" fontId="22" fillId="0" borderId="4" xfId="3" applyNumberFormat="1" applyFont="1" applyBorder="1" applyAlignment="1">
      <alignment horizontal="center"/>
    </xf>
    <xf numFmtId="3" fontId="22" fillId="0" borderId="6" xfId="3" applyNumberFormat="1" applyFont="1" applyFill="1" applyBorder="1" applyAlignment="1">
      <alignment horizontal="center"/>
    </xf>
    <xf numFmtId="0" fontId="2" fillId="0" borderId="5" xfId="0" applyFont="1" applyBorder="1"/>
    <xf numFmtId="166" fontId="2" fillId="8" borderId="0" xfId="0" applyNumberFormat="1" applyFont="1" applyFill="1" applyBorder="1"/>
    <xf numFmtId="221" fontId="22" fillId="0" borderId="0" xfId="3" applyNumberFormat="1" applyFont="1" applyBorder="1" applyAlignment="1">
      <alignment horizontal="center"/>
    </xf>
    <xf numFmtId="38" fontId="4" fillId="0" borderId="0" xfId="0" applyNumberFormat="1" applyFont="1" applyFill="1" applyAlignment="1">
      <alignment horizontal="left"/>
    </xf>
    <xf numFmtId="0" fontId="22" fillId="0" borderId="15" xfId="0" applyFont="1" applyBorder="1" applyAlignment="1">
      <alignment horizontal="left"/>
    </xf>
    <xf numFmtId="38" fontId="3" fillId="0" borderId="0" xfId="4" applyNumberFormat="1" applyFont="1" applyFill="1" applyBorder="1" applyProtection="1"/>
    <xf numFmtId="14" fontId="2" fillId="0" borderId="6" xfId="0" applyNumberFormat="1" applyFont="1" applyFill="1" applyBorder="1" applyAlignment="1">
      <alignment horizontal="left"/>
    </xf>
    <xf numFmtId="9" fontId="3" fillId="0" borderId="0" xfId="0" applyNumberFormat="1" applyFont="1" applyBorder="1"/>
    <xf numFmtId="10" fontId="3" fillId="0" borderId="0" xfId="0" applyNumberFormat="1" applyFont="1" applyBorder="1"/>
    <xf numFmtId="210" fontId="3" fillId="0" borderId="9" xfId="0" applyNumberFormat="1" applyFont="1" applyBorder="1"/>
    <xf numFmtId="164" fontId="0" fillId="0" borderId="0" xfId="22" applyNumberFormat="1" applyFont="1"/>
    <xf numFmtId="164" fontId="0" fillId="0" borderId="3" xfId="0" applyNumberFormat="1" applyBorder="1"/>
    <xf numFmtId="166" fontId="104" fillId="0" borderId="3" xfId="3" applyNumberFormat="1" applyFont="1" applyBorder="1"/>
    <xf numFmtId="164" fontId="3" fillId="0" borderId="0" xfId="22" applyNumberFormat="1" applyFont="1" applyFill="1"/>
    <xf numFmtId="166" fontId="0" fillId="0" borderId="0" xfId="0" applyNumberFormat="1"/>
    <xf numFmtId="38" fontId="15" fillId="10" borderId="0" xfId="0" applyNumberFormat="1" applyFont="1" applyFill="1"/>
    <xf numFmtId="166" fontId="11" fillId="10" borderId="0" xfId="0" applyNumberFormat="1" applyFont="1" applyFill="1"/>
    <xf numFmtId="166" fontId="3" fillId="10" borderId="0" xfId="3" applyNumberFormat="1" applyFont="1" applyFill="1"/>
    <xf numFmtId="37" fontId="22" fillId="8" borderId="0" xfId="0" applyNumberFormat="1" applyFont="1" applyFill="1" applyBorder="1" applyAlignment="1">
      <alignment horizontal="center"/>
    </xf>
    <xf numFmtId="9" fontId="15" fillId="0" borderId="0" xfId="3" applyNumberFormat="1" applyFont="1" applyBorder="1"/>
    <xf numFmtId="166" fontId="2" fillId="0" borderId="5" xfId="3" quotePrefix="1" applyNumberFormat="1" applyFont="1" applyBorder="1" applyProtection="1"/>
    <xf numFmtId="166" fontId="3" fillId="0" borderId="0" xfId="3" applyNumberFormat="1" applyFont="1" applyBorder="1" applyAlignment="1">
      <alignment horizontal="center"/>
    </xf>
    <xf numFmtId="38" fontId="22" fillId="8" borderId="6" xfId="0" applyNumberFormat="1" applyFont="1" applyFill="1" applyBorder="1" applyAlignment="1">
      <alignment horizontal="center"/>
    </xf>
    <xf numFmtId="0" fontId="0" fillId="0" borderId="6" xfId="0" applyBorder="1"/>
    <xf numFmtId="3" fontId="22" fillId="0" borderId="6" xfId="0" applyNumberFormat="1" applyFont="1" applyBorder="1" applyAlignment="1">
      <alignment horizontal="center"/>
    </xf>
    <xf numFmtId="3" fontId="22" fillId="0" borderId="13" xfId="0" applyNumberFormat="1" applyFont="1" applyBorder="1" applyAlignment="1">
      <alignment horizontal="center"/>
    </xf>
    <xf numFmtId="9" fontId="38" fillId="0" borderId="0" xfId="0" applyNumberFormat="1" applyFont="1" applyFill="1" applyBorder="1" applyAlignment="1">
      <alignment horizontal="center"/>
    </xf>
    <xf numFmtId="38" fontId="38" fillId="0" borderId="0" xfId="0" applyNumberFormat="1" applyFont="1" applyBorder="1"/>
    <xf numFmtId="9" fontId="38" fillId="0" borderId="0" xfId="0" applyNumberFormat="1" applyFont="1" applyBorder="1" applyAlignment="1">
      <alignment horizontal="center"/>
    </xf>
    <xf numFmtId="38" fontId="38" fillId="0" borderId="9" xfId="3" applyNumberFormat="1" applyFont="1" applyBorder="1" applyAlignment="1">
      <alignment horizontal="center"/>
    </xf>
    <xf numFmtId="10" fontId="38" fillId="0" borderId="0" xfId="0" applyNumberFormat="1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9" fontId="19" fillId="0" borderId="6" xfId="0" applyNumberFormat="1" applyFont="1" applyBorder="1" applyAlignment="1" applyProtection="1">
      <alignment horizontal="center"/>
    </xf>
    <xf numFmtId="38" fontId="19" fillId="0" borderId="6" xfId="3" applyNumberFormat="1" applyFont="1" applyBorder="1" applyAlignment="1" applyProtection="1">
      <alignment horizontal="center"/>
    </xf>
    <xf numFmtId="0" fontId="9" fillId="0" borderId="22" xfId="0" applyFont="1" applyBorder="1"/>
    <xf numFmtId="0" fontId="0" fillId="0" borderId="23" xfId="0" applyBorder="1"/>
    <xf numFmtId="40" fontId="22" fillId="11" borderId="23" xfId="3" applyNumberFormat="1" applyFont="1" applyFill="1" applyBorder="1" applyAlignment="1">
      <alignment horizontal="right"/>
    </xf>
    <xf numFmtId="40" fontId="22" fillId="11" borderId="24" xfId="3" applyNumberFormat="1" applyFont="1" applyFill="1" applyBorder="1" applyAlignment="1">
      <alignment horizontal="right"/>
    </xf>
    <xf numFmtId="10" fontId="43" fillId="0" borderId="0" xfId="22" applyNumberFormat="1" applyFont="1" applyFill="1" applyBorder="1" applyAlignment="1">
      <alignment horizontal="right"/>
    </xf>
    <xf numFmtId="166" fontId="22" fillId="0" borderId="0" xfId="3" applyNumberFormat="1" applyFont="1" applyBorder="1" applyAlignment="1">
      <alignment horizontal="right"/>
    </xf>
    <xf numFmtId="0" fontId="20" fillId="0" borderId="0" xfId="0" applyFont="1" applyBorder="1" applyAlignment="1" applyProtection="1">
      <alignment horizontal="left"/>
    </xf>
    <xf numFmtId="0" fontId="100" fillId="0" borderId="0" xfId="0" applyFont="1" applyBorder="1" applyAlignment="1" applyProtection="1">
      <alignment horizontal="left"/>
    </xf>
    <xf numFmtId="0" fontId="101" fillId="0" borderId="0" xfId="0" applyFont="1" applyBorder="1" applyAlignment="1" applyProtection="1">
      <alignment horizontal="left"/>
    </xf>
    <xf numFmtId="357" fontId="15" fillId="0" borderId="0" xfId="0" applyNumberFormat="1" applyFont="1" applyFill="1" applyBorder="1"/>
    <xf numFmtId="3" fontId="22" fillId="8" borderId="6" xfId="0" applyNumberFormat="1" applyFont="1" applyFill="1" applyBorder="1" applyAlignment="1">
      <alignment horizontal="center"/>
    </xf>
    <xf numFmtId="0" fontId="22" fillId="0" borderId="6" xfId="0" applyFont="1" applyBorder="1" applyAlignment="1">
      <alignment horizontal="center"/>
    </xf>
    <xf numFmtId="9" fontId="3" fillId="0" borderId="0" xfId="3" applyNumberFormat="1" applyFont="1" applyFill="1" applyBorder="1" applyAlignment="1">
      <alignment horizontal="right"/>
    </xf>
    <xf numFmtId="166" fontId="3" fillId="0" borderId="0" xfId="3" applyNumberFormat="1" applyFont="1" applyFill="1" applyBorder="1" applyAlignment="1">
      <alignment horizontal="right"/>
    </xf>
    <xf numFmtId="43" fontId="15" fillId="0" borderId="0" xfId="3" applyFont="1" applyFill="1" applyBorder="1" applyAlignment="1">
      <alignment horizontal="left"/>
    </xf>
    <xf numFmtId="164" fontId="3" fillId="0" borderId="0" xfId="22" applyNumberFormat="1" applyFont="1" applyFill="1" applyBorder="1"/>
    <xf numFmtId="10" fontId="3" fillId="0" borderId="0" xfId="22" applyNumberFormat="1" applyFont="1"/>
    <xf numFmtId="191" fontId="3" fillId="0" borderId="0" xfId="0" applyNumberFormat="1" applyFont="1"/>
    <xf numFmtId="164" fontId="9" fillId="8" borderId="6" xfId="22" applyNumberFormat="1" applyFont="1" applyFill="1" applyBorder="1" applyAlignment="1">
      <alignment horizontal="center"/>
    </xf>
    <xf numFmtId="164" fontId="2" fillId="12" borderId="3" xfId="22" applyNumberFormat="1" applyFont="1" applyFill="1" applyBorder="1" applyAlignment="1">
      <alignment horizontal="center"/>
    </xf>
    <xf numFmtId="190" fontId="3" fillId="0" borderId="0" xfId="0" applyNumberFormat="1" applyFont="1"/>
    <xf numFmtId="166" fontId="2" fillId="0" borderId="0" xfId="0" applyNumberFormat="1" applyFont="1" applyFill="1" applyBorder="1"/>
    <xf numFmtId="9" fontId="9" fillId="0" borderId="0" xfId="0" applyNumberFormat="1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6" fontId="17" fillId="0" borderId="25" xfId="3" applyNumberFormat="1" applyFont="1" applyBorder="1" applyAlignment="1">
      <alignment horizontal="center"/>
    </xf>
    <xf numFmtId="166" fontId="17" fillId="0" borderId="26" xfId="3" applyNumberFormat="1" applyFont="1" applyBorder="1" applyAlignment="1">
      <alignment horizontal="center"/>
    </xf>
    <xf numFmtId="166" fontId="17" fillId="0" borderId="27" xfId="3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</cellXfs>
  <cellStyles count="34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IPP Summary" xfId="19"/>
    <cellStyle name="Normal_Summary" xfId="20"/>
    <cellStyle name="Normal_Yuma CE Strategic" xfId="21"/>
    <cellStyle name="Percent" xfId="22" builtinId="5"/>
    <cellStyle name="Percent [2]" xfId="23"/>
    <cellStyle name="Standard_Anpassen der Amortisation" xfId="24"/>
    <cellStyle name="Total" xfId="25" builtinId="25" customBuiltin="1"/>
    <cellStyle name="uk" xfId="26"/>
    <cellStyle name="Un" xfId="27"/>
    <cellStyle name="Unprot" xfId="28"/>
    <cellStyle name="Unprot$" xfId="29"/>
    <cellStyle name="Unprot_CurrencySKorea" xfId="30"/>
    <cellStyle name="Unprotect" xfId="31"/>
    <cellStyle name="Währung [0]_Compiling Utility Macros" xfId="32"/>
    <cellStyle name="Währung_Compiling Utility Macros" xfId="3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409575</xdr:colOff>
          <xdr:row>31</xdr:row>
          <xdr:rowOff>28575</xdr:rowOff>
        </xdr:from>
        <xdr:to>
          <xdr:col>3</xdr:col>
          <xdr:colOff>619125</xdr:colOff>
          <xdr:row>32</xdr:row>
          <xdr:rowOff>161925</xdr:rowOff>
        </xdr:to>
        <xdr:sp macro="" textlink="">
          <xdr:nvSpPr>
            <xdr:cNvPr id="7590" name="Button 422" hidden="1">
              <a:extLst>
                <a:ext uri="{63B3BB69-23CF-44E3-9099-C40C66FF867C}">
                  <a14:compatExt spid="_x0000_s7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Equity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3-29-00/00%20O&amp;M%20analysis%20-%200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5-08-00/Peaker%20Valuation%2005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"/>
      <sheetName val="Consol Summary"/>
      <sheetName val="WC Summ"/>
      <sheetName val="WC MO"/>
      <sheetName val="WC YTD"/>
      <sheetName val="WH Summ"/>
      <sheetName val="WH MO"/>
      <sheetName val="WH YTD"/>
      <sheetName val="Gl Summ"/>
      <sheetName val="Gl MO"/>
      <sheetName val="Gl YTD"/>
    </sheetNames>
    <sheetDataSet>
      <sheetData sheetId="0" refreshError="1"/>
      <sheetData sheetId="1">
        <row r="22">
          <cell r="D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D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D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D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D29">
            <v>0</v>
          </cell>
          <cell r="F29">
            <v>0</v>
          </cell>
          <cell r="G29">
            <v>0</v>
          </cell>
          <cell r="H29">
            <v>0</v>
          </cell>
        </row>
        <row r="31">
          <cell r="D31">
            <v>0</v>
          </cell>
          <cell r="F31">
            <v>0</v>
          </cell>
          <cell r="G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G33">
            <v>0</v>
          </cell>
          <cell r="H33">
            <v>0</v>
          </cell>
        </row>
        <row r="35">
          <cell r="D35">
            <v>0</v>
          </cell>
          <cell r="F35">
            <v>0</v>
          </cell>
          <cell r="G35">
            <v>0</v>
          </cell>
          <cell r="H35">
            <v>0</v>
          </cell>
        </row>
        <row r="38">
          <cell r="D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D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D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D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D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D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D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D45">
            <v>0</v>
          </cell>
          <cell r="F45">
            <v>0</v>
          </cell>
          <cell r="G45">
            <v>0</v>
          </cell>
          <cell r="H45">
            <v>0</v>
          </cell>
        </row>
      </sheetData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pacity Prices"/>
      <sheetName val="Assumptions"/>
      <sheetName val="Spark-Spread"/>
      <sheetName val="99 Acct Sumry"/>
      <sheetName val="00 Acct Sumry"/>
      <sheetName val="Consolidated"/>
      <sheetName val="Brownsville"/>
      <sheetName val="Caledonia"/>
      <sheetName val="New Albany"/>
      <sheetName val="Gleason"/>
      <sheetName val="Wheatland"/>
      <sheetName val="Wilton"/>
      <sheetName val="Depreciation"/>
      <sheetName val="Notes"/>
      <sheetName val="Process"/>
      <sheetName val="Changes"/>
      <sheetName val="Start Charge Matri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H94"/>
  <sheetViews>
    <sheetView topLeftCell="A2" zoomScale="75" zoomScaleNormal="75" workbookViewId="0">
      <selection activeCell="C28" sqref="C28"/>
    </sheetView>
  </sheetViews>
  <sheetFormatPr defaultRowHeight="12.75"/>
  <cols>
    <col min="1" max="1" width="66" style="16" bestFit="1" customWidth="1"/>
    <col min="2" max="2" width="19.28515625" style="16" customWidth="1"/>
    <col min="3" max="3" width="20.7109375" style="16" customWidth="1"/>
    <col min="4" max="4" width="21.140625" style="16" customWidth="1"/>
    <col min="5" max="5" width="24.7109375" style="16" bestFit="1" customWidth="1"/>
    <col min="6" max="6" width="21.28515625" style="16" bestFit="1" customWidth="1"/>
    <col min="7" max="7" width="17.7109375" style="16" customWidth="1"/>
    <col min="8" max="8" width="9.85546875" style="16" customWidth="1"/>
    <col min="9" max="9" width="14.140625" style="16" customWidth="1"/>
    <col min="10" max="10" width="23" style="16" bestFit="1" customWidth="1"/>
    <col min="11" max="11" width="14.42578125" style="16" customWidth="1"/>
    <col min="12" max="12" width="13.85546875" style="16" customWidth="1"/>
    <col min="13" max="13" width="5.140625" style="16" customWidth="1"/>
    <col min="14" max="16" width="14.42578125" style="16" customWidth="1"/>
    <col min="17" max="17" width="5.7109375" style="16" customWidth="1"/>
    <col min="18" max="18" width="12.28515625" style="16" customWidth="1"/>
    <col min="19" max="19" width="9" style="16" customWidth="1"/>
    <col min="20" max="20" width="12" style="16" customWidth="1"/>
    <col min="21" max="21" width="12.85546875" style="16" customWidth="1"/>
    <col min="22" max="22" width="12" style="16" customWidth="1"/>
    <col min="23" max="23" width="23" style="16" bestFit="1" customWidth="1"/>
    <col min="24" max="29" width="12" style="16" customWidth="1"/>
    <col min="30" max="30" width="9.140625" style="16"/>
    <col min="31" max="33" width="10" style="16" customWidth="1"/>
    <col min="34" max="34" width="12" style="16" customWidth="1"/>
    <col min="35" max="35" width="17.5703125" style="16" customWidth="1"/>
    <col min="36" max="36" width="22.42578125" style="16" customWidth="1"/>
    <col min="37" max="37" width="19" style="16" customWidth="1"/>
    <col min="38" max="38" width="10.28515625" style="16" customWidth="1"/>
    <col min="39" max="58" width="13.140625" style="16" customWidth="1"/>
    <col min="59" max="59" width="9.140625" style="16"/>
    <col min="60" max="69" width="10" style="16" customWidth="1"/>
    <col min="70" max="70" width="9.140625" style="16"/>
    <col min="71" max="76" width="10" style="16" customWidth="1"/>
    <col min="77" max="77" width="9.140625" style="16"/>
    <col min="78" max="83" width="10" style="16" customWidth="1"/>
    <col min="84" max="16384" width="9.140625" style="16"/>
  </cols>
  <sheetData>
    <row r="1" spans="1:34" ht="25.5" hidden="1">
      <c r="A1" s="283" t="s">
        <v>101</v>
      </c>
      <c r="T1" s="141"/>
      <c r="AH1" s="141"/>
    </row>
    <row r="2" spans="1:34" ht="12.75" customHeight="1">
      <c r="A2" s="283"/>
      <c r="T2" s="141"/>
      <c r="AH2" s="141"/>
    </row>
    <row r="3" spans="1:34" ht="18.75">
      <c r="A3" s="412" t="s">
        <v>164</v>
      </c>
      <c r="B3" s="6"/>
      <c r="C3" s="6"/>
      <c r="D3" s="6"/>
    </row>
    <row r="5" spans="1:34" ht="13.5" thickBot="1">
      <c r="S5" s="122"/>
    </row>
    <row r="6" spans="1:34" ht="15.75">
      <c r="A6" s="165" t="s">
        <v>1</v>
      </c>
      <c r="B6" s="166"/>
      <c r="C6" s="166"/>
      <c r="D6" s="166"/>
      <c r="E6" s="27"/>
      <c r="F6" s="27"/>
      <c r="G6" s="28"/>
      <c r="T6" s="262"/>
    </row>
    <row r="7" spans="1:34" ht="15.75">
      <c r="A7" s="167" t="s">
        <v>5</v>
      </c>
      <c r="B7" s="168" t="s">
        <v>6</v>
      </c>
      <c r="C7" s="199" t="s">
        <v>7</v>
      </c>
      <c r="D7" s="169"/>
      <c r="E7" s="170" t="s">
        <v>234</v>
      </c>
      <c r="F7" s="168" t="s">
        <v>6</v>
      </c>
      <c r="G7" s="200" t="s">
        <v>7</v>
      </c>
      <c r="X7" s="36"/>
      <c r="Y7" s="36"/>
      <c r="Z7" s="36"/>
    </row>
    <row r="8" spans="1:34" ht="15.75">
      <c r="A8" s="171" t="s">
        <v>8</v>
      </c>
      <c r="B8" s="337">
        <f>C8/$C$14</f>
        <v>0.39140700670938566</v>
      </c>
      <c r="C8" s="248">
        <f>B33</f>
        <v>577000</v>
      </c>
      <c r="D8" s="264"/>
      <c r="E8" s="172" t="s">
        <v>235</v>
      </c>
      <c r="F8" s="383">
        <f>G8/G14</f>
        <v>0.37523454272798834</v>
      </c>
      <c r="G8" s="250">
        <f>(C14-G12)*Allocation!C10</f>
        <v>553159.05807175592</v>
      </c>
      <c r="H8" s="56"/>
      <c r="X8" s="36"/>
      <c r="Y8" s="36"/>
      <c r="Z8" s="36"/>
    </row>
    <row r="9" spans="1:34" ht="15.75">
      <c r="A9" s="167" t="s">
        <v>14</v>
      </c>
      <c r="B9" s="502">
        <f>C9/$C$14</f>
        <v>0.49858604840796966</v>
      </c>
      <c r="C9" s="249">
        <f>E20</f>
        <v>735000</v>
      </c>
      <c r="D9" s="503"/>
      <c r="E9" s="170" t="s">
        <v>236</v>
      </c>
      <c r="F9" s="504">
        <f>G9/G14</f>
        <v>0.51475851238936698</v>
      </c>
      <c r="G9" s="505">
        <f>(C14-G12)*Allocation!C15</f>
        <v>758840.94192824385</v>
      </c>
      <c r="H9" s="6"/>
      <c r="T9" s="263"/>
      <c r="X9" s="36"/>
      <c r="Y9" s="36"/>
      <c r="Z9" s="36"/>
    </row>
    <row r="10" spans="1:34" ht="15.75">
      <c r="A10" s="171" t="s">
        <v>166</v>
      </c>
      <c r="B10" s="337">
        <f>SUM(B8:B9)</f>
        <v>0.88999305511735538</v>
      </c>
      <c r="C10" s="248">
        <f>SUM(C8:C9)</f>
        <v>1312000</v>
      </c>
      <c r="D10" s="17"/>
      <c r="E10" s="172" t="s">
        <v>166</v>
      </c>
      <c r="F10" s="383">
        <f>SUM(F8:F9)</f>
        <v>0.88999305511735538</v>
      </c>
      <c r="G10" s="250">
        <f>SUM(G8:G9)</f>
        <v>1311999.9999999998</v>
      </c>
      <c r="H10" s="127"/>
      <c r="T10" s="263"/>
      <c r="X10" s="36"/>
      <c r="Y10" s="36"/>
      <c r="Z10" s="36"/>
    </row>
    <row r="11" spans="1:34" ht="15.75">
      <c r="A11" s="30"/>
      <c r="B11" s="17"/>
      <c r="C11" s="17"/>
      <c r="D11" s="17"/>
      <c r="E11" s="17"/>
      <c r="F11" s="17"/>
      <c r="G11" s="29"/>
      <c r="H11" s="6"/>
      <c r="T11" s="263"/>
      <c r="X11" s="36"/>
      <c r="Y11" s="36"/>
      <c r="Z11" s="36"/>
    </row>
    <row r="12" spans="1:34" ht="15.75">
      <c r="A12" s="173" t="s">
        <v>268</v>
      </c>
      <c r="B12" s="337">
        <f>C12/$C$14</f>
        <v>0.11000694488264463</v>
      </c>
      <c r="C12" s="248">
        <f>'Amortization of Power Contract'!C54</f>
        <v>162168.80666220299</v>
      </c>
      <c r="D12" s="169"/>
      <c r="E12" s="169" t="s">
        <v>268</v>
      </c>
      <c r="F12" s="383">
        <f>G12/G14</f>
        <v>0.11000694488264465</v>
      </c>
      <c r="G12" s="250">
        <f>'Amortization of Power Contract'!C54</f>
        <v>162168.80666220299</v>
      </c>
      <c r="H12" s="140"/>
      <c r="T12" s="263"/>
      <c r="W12" s="36"/>
      <c r="X12" s="36"/>
      <c r="Y12" s="36"/>
      <c r="Z12" s="36"/>
    </row>
    <row r="13" spans="1:34" ht="15.75">
      <c r="A13" s="30"/>
      <c r="B13" s="17"/>
      <c r="C13" s="145"/>
      <c r="D13" s="17"/>
      <c r="E13" s="17"/>
      <c r="F13" s="17"/>
      <c r="G13" s="29"/>
      <c r="H13" s="6"/>
      <c r="T13" s="263"/>
      <c r="W13" s="36"/>
      <c r="X13" s="36"/>
      <c r="Y13" s="36"/>
      <c r="Z13" s="36"/>
    </row>
    <row r="14" spans="1:34" ht="16.5" thickBot="1">
      <c r="A14" s="507" t="s">
        <v>15</v>
      </c>
      <c r="B14" s="508">
        <f>C14/$C$14</f>
        <v>1</v>
      </c>
      <c r="C14" s="509">
        <f>C12+C10</f>
        <v>1474168.806662203</v>
      </c>
      <c r="D14" s="176"/>
      <c r="E14" s="273" t="s">
        <v>165</v>
      </c>
      <c r="F14" s="276">
        <f>SUM(F12,F10)</f>
        <v>1</v>
      </c>
      <c r="G14" s="274">
        <f>G12+G10</f>
        <v>1474168.8066622028</v>
      </c>
      <c r="H14" s="6"/>
      <c r="T14" s="263"/>
    </row>
    <row r="15" spans="1:34" ht="16.5" thickBot="1">
      <c r="A15" s="506"/>
      <c r="B15" s="284"/>
      <c r="C15" s="249"/>
      <c r="D15" s="169"/>
      <c r="E15" s="169"/>
      <c r="F15" s="275"/>
      <c r="G15" s="183"/>
      <c r="H15" s="6"/>
      <c r="T15" s="263"/>
    </row>
    <row r="16" spans="1:34" ht="15.75">
      <c r="A16" s="165" t="s">
        <v>155</v>
      </c>
      <c r="B16" s="27"/>
      <c r="C16" s="27"/>
      <c r="D16" s="147"/>
      <c r="E16" s="27"/>
      <c r="F16" s="27"/>
      <c r="G16" s="28"/>
      <c r="H16" s="6"/>
      <c r="T16" s="263"/>
    </row>
    <row r="17" spans="1:20" ht="15.75">
      <c r="A17" s="30"/>
      <c r="B17" s="192" t="s">
        <v>17</v>
      </c>
      <c r="C17" s="192" t="s">
        <v>18</v>
      </c>
      <c r="D17" s="192" t="s">
        <v>19</v>
      </c>
      <c r="E17" s="192" t="s">
        <v>20</v>
      </c>
      <c r="F17" s="32"/>
      <c r="G17" s="237"/>
      <c r="H17" s="6"/>
      <c r="T17" s="263"/>
    </row>
    <row r="18" spans="1:20" ht="15.75">
      <c r="A18" s="298" t="s">
        <v>156</v>
      </c>
      <c r="B18" s="163"/>
      <c r="C18" s="163"/>
      <c r="D18" s="163"/>
      <c r="E18" s="17"/>
      <c r="F18" s="17"/>
      <c r="G18" s="29"/>
      <c r="H18" s="6"/>
      <c r="T18" s="263"/>
    </row>
    <row r="19" spans="1:20" ht="15.75">
      <c r="A19" s="178" t="s">
        <v>142</v>
      </c>
      <c r="B19" s="332">
        <v>36892</v>
      </c>
      <c r="C19" s="17"/>
      <c r="D19" s="17"/>
      <c r="E19" s="17"/>
      <c r="F19" s="17"/>
      <c r="G19" s="29"/>
      <c r="H19" s="6"/>
      <c r="T19" s="263"/>
    </row>
    <row r="20" spans="1:20" ht="15.75">
      <c r="A20" s="178" t="s">
        <v>21</v>
      </c>
      <c r="B20" s="494">
        <v>50000</v>
      </c>
      <c r="C20" s="494">
        <v>210000</v>
      </c>
      <c r="D20" s="494">
        <v>475000</v>
      </c>
      <c r="E20" s="385">
        <f>SUM(B20:D20)</f>
        <v>735000</v>
      </c>
      <c r="F20" s="148"/>
      <c r="G20" s="238"/>
      <c r="H20" s="6"/>
      <c r="T20" s="263"/>
    </row>
    <row r="21" spans="1:20" ht="15.75">
      <c r="A21" s="178" t="s">
        <v>22</v>
      </c>
      <c r="B21" s="352">
        <f>Debt!E98</f>
        <v>2.9952087611225187</v>
      </c>
      <c r="C21" s="352">
        <f>Debt!J98</f>
        <v>9.9958932238193015</v>
      </c>
      <c r="D21" s="352">
        <f>Debt!O98</f>
        <v>19.997262149212869</v>
      </c>
      <c r="E21" s="386"/>
      <c r="F21" s="148"/>
      <c r="G21" s="238"/>
      <c r="H21" s="127"/>
      <c r="T21" s="263"/>
    </row>
    <row r="22" spans="1:20" ht="15.75">
      <c r="A22" s="178" t="s">
        <v>23</v>
      </c>
      <c r="B22" s="332">
        <v>37986</v>
      </c>
      <c r="C22" s="332">
        <v>40543</v>
      </c>
      <c r="D22" s="332">
        <v>44196</v>
      </c>
      <c r="E22" s="385"/>
      <c r="F22" s="17"/>
      <c r="G22" s="29"/>
      <c r="H22" s="127"/>
      <c r="T22" s="263"/>
    </row>
    <row r="23" spans="1:20" ht="15.75">
      <c r="A23" s="178" t="s">
        <v>24</v>
      </c>
      <c r="B23" s="457">
        <f>Debt!E99</f>
        <v>1.7562149212867901</v>
      </c>
      <c r="C23" s="457">
        <f>Debt!J99</f>
        <v>7.1548336755646815</v>
      </c>
      <c r="D23" s="457">
        <f>Debt!O99</f>
        <v>15.030609171800139</v>
      </c>
      <c r="E23" s="387"/>
      <c r="F23" s="17"/>
      <c r="G23" s="29"/>
      <c r="H23" s="6"/>
      <c r="T23" s="263"/>
    </row>
    <row r="24" spans="1:20" ht="15.75">
      <c r="A24" s="178"/>
      <c r="B24" s="17"/>
      <c r="C24" s="17"/>
      <c r="D24" s="17"/>
      <c r="E24" s="385"/>
      <c r="F24" s="17"/>
      <c r="G24" s="29"/>
      <c r="T24" s="263"/>
    </row>
    <row r="25" spans="1:20" ht="15.75">
      <c r="A25" s="173" t="s">
        <v>230</v>
      </c>
      <c r="B25" s="288">
        <v>6.8000000000000005E-2</v>
      </c>
      <c r="C25" s="288">
        <v>6.5000000000000002E-2</v>
      </c>
      <c r="D25" s="288">
        <v>6.2E-2</v>
      </c>
      <c r="E25" s="388">
        <f>SUMPRODUCT(B25:D25,$B$20:$D$20)/E20</f>
        <v>6.3265306122448975E-2</v>
      </c>
      <c r="F25" s="17"/>
      <c r="G25" s="29"/>
      <c r="T25" s="263"/>
    </row>
    <row r="26" spans="1:20" ht="15.75">
      <c r="A26" s="177" t="s">
        <v>25</v>
      </c>
      <c r="B26" s="289">
        <v>2.2499999999999999E-2</v>
      </c>
      <c r="C26" s="289">
        <v>4.4999999999999998E-2</v>
      </c>
      <c r="D26" s="289">
        <v>0.05</v>
      </c>
      <c r="E26" s="389">
        <f>SUMPRODUCT(B26:D26,$B$20:$D$20)/E20</f>
        <v>4.6700680272108844E-2</v>
      </c>
      <c r="F26" s="17"/>
      <c r="G26" s="29"/>
      <c r="T26" s="263"/>
    </row>
    <row r="27" spans="1:20" ht="15.75">
      <c r="A27" s="178" t="s">
        <v>242</v>
      </c>
      <c r="B27" s="179">
        <f>SUM(B25:B26)</f>
        <v>9.0499999999999997E-2</v>
      </c>
      <c r="C27" s="179">
        <f>SUM(C25:C26)</f>
        <v>0.11</v>
      </c>
      <c r="D27" s="179">
        <f>SUM(D25:D26)</f>
        <v>0.112</v>
      </c>
      <c r="E27" s="388">
        <f>SUMPRODUCT(B27:D27,$B$20:$D$20)/E20</f>
        <v>0.10996598639455782</v>
      </c>
      <c r="F27" s="17"/>
      <c r="G27" s="29"/>
      <c r="T27" s="263"/>
    </row>
    <row r="28" spans="1:20" ht="15.75">
      <c r="A28" s="173"/>
      <c r="B28" s="169"/>
      <c r="C28" s="169"/>
      <c r="D28" s="169"/>
      <c r="E28" s="246"/>
      <c r="F28" s="17"/>
      <c r="G28" s="29"/>
      <c r="T28" s="263"/>
    </row>
    <row r="29" spans="1:20" ht="15.75">
      <c r="A29" s="173" t="s">
        <v>27</v>
      </c>
      <c r="B29" s="287">
        <v>0.05</v>
      </c>
      <c r="C29" s="17"/>
      <c r="D29" s="17"/>
      <c r="E29" s="384"/>
      <c r="F29" s="483"/>
      <c r="G29" s="485"/>
      <c r="T29" s="263"/>
    </row>
    <row r="30" spans="1:20" ht="15.75">
      <c r="A30" s="30"/>
      <c r="B30" s="17"/>
      <c r="C30" s="17"/>
      <c r="D30" s="17"/>
      <c r="E30" s="17"/>
      <c r="F30" s="484"/>
      <c r="G30" s="29"/>
      <c r="T30" s="263"/>
    </row>
    <row r="31" spans="1:20" ht="15.75">
      <c r="A31" s="298" t="s">
        <v>157</v>
      </c>
      <c r="B31" s="17"/>
      <c r="C31" s="17"/>
      <c r="D31" s="17"/>
      <c r="E31" s="17"/>
      <c r="F31" s="17"/>
      <c r="G31" s="29"/>
      <c r="T31" s="263"/>
    </row>
    <row r="32" spans="1:20" ht="15.75">
      <c r="A32" s="178" t="s">
        <v>158</v>
      </c>
      <c r="B32" s="332">
        <v>36892</v>
      </c>
      <c r="C32" s="17"/>
      <c r="D32" s="17"/>
      <c r="E32" s="17"/>
      <c r="F32" s="17"/>
      <c r="G32" s="29"/>
      <c r="T32" s="263"/>
    </row>
    <row r="33" spans="1:20" ht="15.75">
      <c r="A33" s="178" t="s">
        <v>21</v>
      </c>
      <c r="B33" s="390">
        <v>577000</v>
      </c>
      <c r="C33" s="17"/>
      <c r="D33" s="17"/>
      <c r="E33" s="17"/>
      <c r="F33" s="17"/>
      <c r="G33" s="29"/>
      <c r="T33" s="263"/>
    </row>
    <row r="34" spans="1:20" ht="16.5" thickBot="1">
      <c r="A34" s="480" t="s">
        <v>225</v>
      </c>
      <c r="B34" s="528">
        <v>0.14000000000000001</v>
      </c>
      <c r="C34" s="31"/>
      <c r="D34" s="31"/>
      <c r="E34" s="31"/>
      <c r="F34" s="31"/>
      <c r="G34" s="142"/>
      <c r="T34" s="263"/>
    </row>
    <row r="35" spans="1:20" ht="16.5" thickBot="1">
      <c r="A35" s="17"/>
      <c r="B35" s="17"/>
      <c r="C35" s="17"/>
      <c r="D35" s="17"/>
      <c r="E35" s="17"/>
      <c r="F35" s="17"/>
      <c r="G35" s="17"/>
      <c r="T35" s="263"/>
    </row>
    <row r="36" spans="1:20" ht="15.75">
      <c r="A36" s="164" t="s">
        <v>28</v>
      </c>
      <c r="B36" s="185"/>
      <c r="C36" s="186"/>
      <c r="D36" s="186"/>
      <c r="E36" s="190"/>
      <c r="F36" s="190"/>
      <c r="G36" s="28"/>
      <c r="T36" s="263"/>
    </row>
    <row r="37" spans="1:20" ht="15.75">
      <c r="A37" s="30"/>
      <c r="B37" s="259" t="s">
        <v>29</v>
      </c>
      <c r="C37" s="260"/>
      <c r="D37" s="17"/>
      <c r="E37" s="17"/>
      <c r="F37" s="169"/>
      <c r="G37" s="29"/>
      <c r="T37" s="263"/>
    </row>
    <row r="38" spans="1:20" ht="15.75">
      <c r="A38" s="173"/>
      <c r="B38" s="252">
        <v>1999</v>
      </c>
      <c r="C38" s="252">
        <v>2000</v>
      </c>
      <c r="D38" s="252" t="s">
        <v>30</v>
      </c>
      <c r="E38" s="252" t="s">
        <v>31</v>
      </c>
      <c r="F38" s="168" t="s">
        <v>32</v>
      </c>
      <c r="G38" s="29"/>
      <c r="T38" s="263"/>
    </row>
    <row r="39" spans="1:20" ht="15.75">
      <c r="A39" s="187" t="s">
        <v>33</v>
      </c>
      <c r="B39" s="285"/>
      <c r="C39" s="17"/>
      <c r="D39" s="285"/>
      <c r="E39" s="285"/>
      <c r="F39" s="169"/>
      <c r="G39" s="29"/>
      <c r="T39" s="263"/>
    </row>
    <row r="40" spans="1:20" ht="15.75">
      <c r="A40" s="188" t="s">
        <v>275</v>
      </c>
      <c r="B40" s="254">
        <f>G8</f>
        <v>553159.05807175592</v>
      </c>
      <c r="C40" s="183">
        <f>G9</f>
        <v>758840.94192824385</v>
      </c>
      <c r="D40" s="254">
        <v>15</v>
      </c>
      <c r="E40" s="291" t="s">
        <v>34</v>
      </c>
      <c r="F40" s="253">
        <v>0</v>
      </c>
      <c r="G40" s="29"/>
      <c r="T40" s="263"/>
    </row>
    <row r="41" spans="1:20" ht="15.75">
      <c r="A41" s="188"/>
      <c r="B41" s="254"/>
      <c r="C41" s="183"/>
      <c r="D41" s="254"/>
      <c r="E41" s="291"/>
      <c r="F41" s="253"/>
      <c r="G41" s="29"/>
      <c r="T41" s="263"/>
    </row>
    <row r="42" spans="1:20" ht="15.75">
      <c r="A42" s="187" t="s">
        <v>37</v>
      </c>
      <c r="B42" s="255"/>
      <c r="C42" s="245"/>
      <c r="D42" s="255"/>
      <c r="E42" s="255"/>
      <c r="F42" s="253"/>
      <c r="G42" s="29"/>
      <c r="T42" s="263"/>
    </row>
    <row r="43" spans="1:20" ht="16.5" thickBot="1">
      <c r="A43" s="189" t="s">
        <v>194</v>
      </c>
      <c r="B43" s="256">
        <f>G8+'Amortization of Power Contract'!C46</f>
        <v>622011.41976317111</v>
      </c>
      <c r="C43" s="184">
        <f>G9+'Amortization of Power Contract'!C50</f>
        <v>852157.38689903158</v>
      </c>
      <c r="D43" s="256">
        <v>30</v>
      </c>
      <c r="E43" s="292" t="s">
        <v>35</v>
      </c>
      <c r="F43" s="342">
        <v>0.1</v>
      </c>
      <c r="G43" s="142"/>
      <c r="T43" s="263"/>
    </row>
    <row r="44" spans="1:20" ht="16.5" thickBot="1">
      <c r="T44" s="263"/>
    </row>
    <row r="45" spans="1:20" ht="15.75">
      <c r="A45" s="165" t="s">
        <v>41</v>
      </c>
      <c r="B45" s="190"/>
      <c r="C45" s="190"/>
      <c r="D45" s="190"/>
      <c r="E45" s="190"/>
      <c r="F45" s="190"/>
      <c r="G45" s="191"/>
      <c r="T45" s="263"/>
    </row>
    <row r="46" spans="1:20" ht="15.75">
      <c r="A46" s="173"/>
      <c r="B46" s="169"/>
      <c r="C46" s="169"/>
      <c r="D46" s="169"/>
      <c r="E46" s="169"/>
      <c r="F46" s="169"/>
      <c r="G46" s="174"/>
      <c r="T46" s="263"/>
    </row>
    <row r="47" spans="1:20" ht="15.75">
      <c r="A47" s="177" t="s">
        <v>0</v>
      </c>
      <c r="B47" s="180"/>
      <c r="C47" s="17"/>
      <c r="D47" s="168" t="s">
        <v>43</v>
      </c>
      <c r="E47" s="168" t="s">
        <v>44</v>
      </c>
      <c r="F47" s="169"/>
      <c r="G47" s="174"/>
      <c r="T47" s="263"/>
    </row>
    <row r="48" spans="1:20" ht="15.75">
      <c r="A48" s="173" t="s">
        <v>111</v>
      </c>
      <c r="B48" s="169"/>
      <c r="C48" s="17"/>
      <c r="D48" s="181">
        <f>Debt!D84</f>
        <v>1.2868053405518787</v>
      </c>
      <c r="E48" s="181">
        <f>Debt!D85</f>
        <v>1.2887131558040941</v>
      </c>
      <c r="F48" s="169"/>
      <c r="G48" s="174"/>
      <c r="T48" s="263"/>
    </row>
    <row r="49" spans="1:24" ht="15.75">
      <c r="A49" s="173" t="s">
        <v>251</v>
      </c>
      <c r="B49" s="169"/>
      <c r="C49" s="17"/>
      <c r="D49" s="181">
        <f>Debt!G84</f>
        <v>2.224040279743142</v>
      </c>
      <c r="E49" s="181">
        <f>Debt!G85</f>
        <v>3.2017201269523086</v>
      </c>
      <c r="F49" s="169"/>
      <c r="G49" s="174"/>
      <c r="T49" s="263"/>
    </row>
    <row r="50" spans="1:24" ht="15.75">
      <c r="A50" s="173"/>
      <c r="B50" s="169"/>
      <c r="C50" s="169"/>
      <c r="D50" s="169"/>
      <c r="E50" s="169"/>
      <c r="F50" s="169"/>
      <c r="G50" s="174"/>
      <c r="T50" s="263"/>
    </row>
    <row r="51" spans="1:24" ht="15.75">
      <c r="A51" s="173"/>
      <c r="B51" s="169"/>
      <c r="C51" s="169"/>
      <c r="D51" s="168" t="s">
        <v>45</v>
      </c>
      <c r="E51" s="168" t="s">
        <v>46</v>
      </c>
      <c r="F51" s="168" t="s">
        <v>47</v>
      </c>
      <c r="G51" s="174"/>
      <c r="T51" s="263"/>
    </row>
    <row r="52" spans="1:24" ht="15.75">
      <c r="A52" s="173" t="s">
        <v>245</v>
      </c>
      <c r="B52" s="169"/>
      <c r="C52" s="169"/>
      <c r="D52" s="183">
        <f>SUMPRODUCT(Assumptions!C9:E9,Assumptions!C10:E10)/SUM(Assumptions!C9:E9)</f>
        <v>12041.118146718147</v>
      </c>
      <c r="E52" s="183">
        <f>SUMPRODUCT(Assumptions!G9:I9,Assumptions!G10:I10)/SUM(Assumptions!G9:I9)</f>
        <v>11525.544080604534</v>
      </c>
      <c r="F52" s="183">
        <f>SUMPRODUCT(Assumptions!C9:I9,Assumptions!C10:I10)/Assumptions!K9</f>
        <v>11757.132154006244</v>
      </c>
      <c r="G52" s="174"/>
      <c r="T52" s="263"/>
    </row>
    <row r="53" spans="1:24" ht="15.75">
      <c r="A53" s="30"/>
      <c r="B53" s="17"/>
      <c r="C53" s="17"/>
      <c r="D53" s="17"/>
      <c r="E53" s="17"/>
      <c r="F53" s="17"/>
      <c r="G53" s="29"/>
      <c r="T53" s="263"/>
    </row>
    <row r="54" spans="1:24" ht="15.75">
      <c r="A54" s="173" t="s">
        <v>277</v>
      </c>
      <c r="B54" s="169"/>
      <c r="C54" s="169"/>
      <c r="D54" s="183">
        <f>SUM(Assumptions!C9:E9)</f>
        <v>1295</v>
      </c>
      <c r="E54" s="183">
        <f>SUM(Assumptions!G9:I9)</f>
        <v>1588</v>
      </c>
      <c r="F54" s="183">
        <f>SUM(D54:E54)</f>
        <v>2883</v>
      </c>
      <c r="G54" s="174"/>
      <c r="T54" s="263"/>
    </row>
    <row r="55" spans="1:24" ht="15.75">
      <c r="A55" s="173"/>
      <c r="B55" s="17"/>
      <c r="C55" s="17"/>
      <c r="D55" s="183"/>
      <c r="E55" s="183"/>
      <c r="F55" s="183"/>
      <c r="G55" s="29"/>
      <c r="T55" s="263"/>
    </row>
    <row r="56" spans="1:24" ht="15.75">
      <c r="A56" s="173" t="s">
        <v>267</v>
      </c>
      <c r="B56" s="17"/>
      <c r="C56" s="17"/>
      <c r="D56" s="183">
        <f>CF!V31/F54</f>
        <v>191.59370651772079</v>
      </c>
      <c r="E56" s="17"/>
      <c r="F56" s="17"/>
      <c r="G56" s="29"/>
      <c r="T56" s="263"/>
    </row>
    <row r="57" spans="1:24">
      <c r="A57" s="30"/>
      <c r="B57" s="17"/>
      <c r="C57" s="17"/>
      <c r="D57" s="17"/>
      <c r="E57" s="17"/>
      <c r="F57" s="17"/>
      <c r="G57" s="29"/>
      <c r="T57" s="40"/>
      <c r="U57" s="40"/>
      <c r="V57" s="40"/>
      <c r="W57" s="40"/>
      <c r="X57" s="40"/>
    </row>
    <row r="58" spans="1:24" ht="15.75">
      <c r="A58" s="173" t="s">
        <v>253</v>
      </c>
      <c r="B58" s="169"/>
      <c r="C58" s="169"/>
      <c r="D58" s="532">
        <f>CF!B33</f>
        <v>0.13946786522865298</v>
      </c>
      <c r="E58" s="169"/>
      <c r="F58" s="169"/>
      <c r="G58" s="174"/>
      <c r="T58" s="40"/>
      <c r="U58" s="40"/>
      <c r="V58" s="40"/>
      <c r="W58" s="40"/>
      <c r="X58" s="40"/>
    </row>
    <row r="59" spans="1:24" ht="15.75">
      <c r="A59" s="173"/>
      <c r="B59" s="285"/>
      <c r="C59" s="182"/>
      <c r="D59" s="251"/>
      <c r="E59" s="169"/>
      <c r="F59" s="169"/>
      <c r="G59" s="174"/>
      <c r="T59" s="380"/>
      <c r="U59" s="40"/>
      <c r="V59" s="40"/>
      <c r="W59" s="40"/>
      <c r="X59" s="40"/>
    </row>
    <row r="60" spans="1:24" ht="15.75">
      <c r="A60" s="173"/>
      <c r="B60" s="168">
        <v>2001</v>
      </c>
      <c r="C60" s="168">
        <v>2002</v>
      </c>
      <c r="D60" s="168">
        <v>2003</v>
      </c>
      <c r="E60" s="168">
        <v>2004</v>
      </c>
      <c r="F60" s="168">
        <v>2005</v>
      </c>
      <c r="G60" s="29"/>
      <c r="T60" s="380"/>
      <c r="U60" s="40"/>
      <c r="V60" s="40"/>
      <c r="W60" s="40"/>
      <c r="X60" s="40"/>
    </row>
    <row r="61" spans="1:24" ht="15.75">
      <c r="A61" s="173" t="s">
        <v>148</v>
      </c>
      <c r="B61" s="183">
        <f>IS!B32</f>
        <v>177680.30256335181</v>
      </c>
      <c r="C61" s="183">
        <f>IS!C32</f>
        <v>177096.43303075299</v>
      </c>
      <c r="D61" s="183">
        <f>IS!D32</f>
        <v>176585.08990364039</v>
      </c>
      <c r="E61" s="183">
        <f>IS!E32</f>
        <v>208641.89506415479</v>
      </c>
      <c r="F61" s="183">
        <f>IS!F32</f>
        <v>219571.38858954672</v>
      </c>
      <c r="G61" s="29"/>
      <c r="T61" s="380"/>
      <c r="U61" s="40"/>
      <c r="V61" s="40"/>
      <c r="W61" s="40"/>
      <c r="X61" s="40"/>
    </row>
    <row r="62" spans="1:24" ht="15.75">
      <c r="A62" s="173" t="s">
        <v>149</v>
      </c>
      <c r="B62" s="183">
        <f>IS!B45</f>
        <v>32647.552142934997</v>
      </c>
      <c r="C62" s="183">
        <f>IS!C45</f>
        <v>33025.692048995639</v>
      </c>
      <c r="D62" s="183">
        <f>IS!D45</f>
        <v>33751.572936501405</v>
      </c>
      <c r="E62" s="183">
        <f>IS!E45</f>
        <v>54215.992487492644</v>
      </c>
      <c r="F62" s="183">
        <f>IS!F45</f>
        <v>62360.41557550936</v>
      </c>
      <c r="G62" s="29"/>
      <c r="T62" s="380"/>
      <c r="U62" s="40"/>
      <c r="V62" s="40"/>
      <c r="W62" s="40"/>
      <c r="X62" s="40"/>
    </row>
    <row r="63" spans="1:24" ht="15.75">
      <c r="A63" s="173" t="s">
        <v>146</v>
      </c>
      <c r="B63" s="183">
        <f>CF!C17</f>
        <v>28108.531919520014</v>
      </c>
      <c r="C63" s="183">
        <f>CF!D17</f>
        <v>27770.045914057002</v>
      </c>
      <c r="D63" s="183">
        <f>CF!E17</f>
        <v>27549.434908094292</v>
      </c>
      <c r="E63" s="183">
        <f>CF!F17</f>
        <v>114907.03439475027</v>
      </c>
      <c r="F63" s="183">
        <f>CF!G17</f>
        <v>121444.19736846531</v>
      </c>
      <c r="G63" s="29"/>
      <c r="T63" s="380"/>
      <c r="U63" s="40"/>
      <c r="V63" s="40"/>
      <c r="W63" s="40"/>
      <c r="X63" s="40"/>
    </row>
    <row r="64" spans="1:24" ht="16.5" thickBot="1">
      <c r="A64" s="175" t="s">
        <v>147</v>
      </c>
      <c r="B64" s="184">
        <f>CF!C22</f>
        <v>27812.041951754585</v>
      </c>
      <c r="C64" s="184">
        <f>CF!D22</f>
        <v>27472.902065308612</v>
      </c>
      <c r="D64" s="184">
        <f>CF!E22</f>
        <v>27251.61416134195</v>
      </c>
      <c r="E64" s="184">
        <f>CF!F22</f>
        <v>114366.84422092195</v>
      </c>
      <c r="F64" s="184">
        <f>CF!G22</f>
        <v>120656.07222426544</v>
      </c>
      <c r="G64" s="142"/>
      <c r="I64" s="3"/>
      <c r="J64" s="381"/>
      <c r="K64" s="381"/>
      <c r="L64" s="381"/>
      <c r="M64" s="381"/>
      <c r="N64" s="381"/>
      <c r="O64" s="381"/>
      <c r="P64" s="381"/>
      <c r="Q64" s="381"/>
      <c r="R64" s="381"/>
      <c r="S64" s="40"/>
      <c r="T64" s="380"/>
      <c r="U64" s="40"/>
      <c r="V64" s="40"/>
      <c r="W64" s="40"/>
      <c r="X64" s="40"/>
    </row>
    <row r="65" spans="10:24" ht="15.75">
      <c r="J65" s="381"/>
      <c r="K65" s="381"/>
      <c r="L65" s="381"/>
      <c r="M65" s="381"/>
      <c r="N65" s="381"/>
      <c r="O65" s="381"/>
      <c r="P65" s="381"/>
      <c r="Q65" s="381"/>
      <c r="R65" s="381"/>
      <c r="S65" s="40"/>
      <c r="T65" s="380"/>
      <c r="U65" s="40"/>
      <c r="V65" s="40"/>
      <c r="W65" s="40"/>
      <c r="X65" s="40"/>
    </row>
    <row r="66" spans="10:24" ht="15.75">
      <c r="J66" s="381"/>
      <c r="K66" s="381"/>
      <c r="L66" s="381"/>
      <c r="M66" s="381"/>
      <c r="N66" s="381"/>
      <c r="O66" s="381"/>
      <c r="P66" s="381"/>
      <c r="Q66" s="381"/>
      <c r="R66" s="381"/>
      <c r="S66" s="40"/>
      <c r="T66" s="380"/>
      <c r="U66" s="40"/>
      <c r="V66" s="40"/>
      <c r="W66" s="40"/>
      <c r="X66" s="40"/>
    </row>
    <row r="67" spans="10:24" ht="15.75"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380"/>
      <c r="U67" s="40"/>
      <c r="V67" s="40"/>
      <c r="W67" s="40"/>
      <c r="X67" s="40"/>
    </row>
    <row r="68" spans="10:24"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spans="10:24"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0:24"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spans="10:24"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spans="10:24"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0:24"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spans="10:24"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spans="10:24">
      <c r="S75" s="40"/>
      <c r="T75" s="40"/>
      <c r="U75" s="40"/>
      <c r="V75" s="40"/>
      <c r="W75" s="40"/>
      <c r="X75" s="40"/>
    </row>
    <row r="76" spans="10:24">
      <c r="S76" s="40"/>
      <c r="T76" s="40"/>
      <c r="U76" s="40"/>
      <c r="V76" s="40"/>
      <c r="W76" s="40"/>
      <c r="X76" s="40"/>
    </row>
    <row r="77" spans="10:24">
      <c r="S77" s="40"/>
      <c r="T77" s="40"/>
      <c r="U77" s="40"/>
      <c r="V77" s="40"/>
      <c r="W77" s="40"/>
      <c r="X77" s="40"/>
    </row>
    <row r="78" spans="10:24">
      <c r="S78" s="40"/>
      <c r="T78" s="40"/>
      <c r="U78" s="40"/>
      <c r="V78" s="40"/>
      <c r="W78" s="40"/>
      <c r="X78" s="40"/>
    </row>
    <row r="79" spans="10:24">
      <c r="S79" s="40"/>
      <c r="T79" s="40"/>
      <c r="U79" s="40"/>
      <c r="V79" s="40"/>
      <c r="W79" s="40"/>
      <c r="X79" s="40"/>
    </row>
    <row r="80" spans="10:24">
      <c r="S80" s="40"/>
      <c r="T80" s="40"/>
      <c r="U80" s="40"/>
      <c r="V80" s="40"/>
      <c r="W80" s="40"/>
      <c r="X80" s="40"/>
    </row>
    <row r="81" spans="10:24">
      <c r="S81" s="40"/>
      <c r="T81" s="40"/>
      <c r="U81" s="40"/>
      <c r="V81" s="40"/>
      <c r="W81" s="40"/>
      <c r="X81" s="40"/>
    </row>
    <row r="82" spans="10:24">
      <c r="S82" s="40"/>
      <c r="T82" s="40"/>
      <c r="U82" s="40"/>
      <c r="V82" s="40"/>
      <c r="W82" s="40"/>
      <c r="X82" s="40"/>
    </row>
    <row r="83" spans="10:24">
      <c r="S83" s="40"/>
      <c r="T83" s="40"/>
      <c r="U83" s="40"/>
      <c r="V83" s="40"/>
      <c r="W83" s="40"/>
      <c r="X83" s="40"/>
    </row>
    <row r="84" spans="10:24">
      <c r="S84" s="40"/>
      <c r="T84" s="40"/>
      <c r="U84" s="40"/>
      <c r="V84" s="40"/>
      <c r="W84" s="40"/>
      <c r="X84" s="40"/>
    </row>
    <row r="85" spans="10:24">
      <c r="S85" s="40"/>
      <c r="T85" s="40"/>
      <c r="U85" s="40"/>
      <c r="V85" s="40"/>
      <c r="W85" s="40"/>
      <c r="X85" s="40"/>
    </row>
    <row r="86" spans="10:24">
      <c r="S86" s="40"/>
      <c r="T86" s="40"/>
      <c r="U86" s="40"/>
      <c r="V86" s="40"/>
      <c r="W86" s="40"/>
      <c r="X86" s="40"/>
    </row>
    <row r="87" spans="10:24">
      <c r="S87" s="40"/>
      <c r="T87" s="40"/>
      <c r="U87" s="40"/>
      <c r="V87" s="40"/>
      <c r="W87" s="40"/>
      <c r="X87" s="40"/>
    </row>
    <row r="88" spans="10:24"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spans="10:24"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4" spans="10:24">
      <c r="Q94" s="6"/>
    </row>
  </sheetData>
  <pageMargins left="0.75" right="0.75" top="1" bottom="1" header="0.5" footer="0.5"/>
  <pageSetup scale="48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8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90" r:id="rId4" name="Button 422">
              <controlPr defaultSize="0" print="0" autoFill="0" autoPict="0" macro="[0]!Equity">
                <anchor moveWithCells="1" sizeWithCells="1">
                  <from>
                    <xdr:col>2</xdr:col>
                    <xdr:colOff>409575</xdr:colOff>
                    <xdr:row>31</xdr:row>
                    <xdr:rowOff>28575</xdr:rowOff>
                  </from>
                  <to>
                    <xdr:col>3</xdr:col>
                    <xdr:colOff>619125</xdr:colOff>
                    <xdr:row>32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C774"/>
  <sheetViews>
    <sheetView zoomScale="75" zoomScaleNormal="75" workbookViewId="0"/>
  </sheetViews>
  <sheetFormatPr defaultRowHeight="12.75" outlineLevelRow="2" outlineLevelCol="1"/>
  <cols>
    <col min="1" max="1" width="46.855468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93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Brownsville!$B$5</f>
        <v>2001</v>
      </c>
      <c r="C5" s="8">
        <f>Brownsville!C5</f>
        <v>2002</v>
      </c>
      <c r="D5" s="8">
        <f>Brownsville!D5</f>
        <v>2003</v>
      </c>
      <c r="E5" s="8">
        <f>Brownsville!E5</f>
        <v>2004</v>
      </c>
      <c r="F5" s="8">
        <f>Brownsville!F5</f>
        <v>2005</v>
      </c>
      <c r="G5" s="8">
        <f>Brownsville!G5</f>
        <v>2006</v>
      </c>
      <c r="H5" s="8">
        <f>Brownsville!H5</f>
        <v>2007</v>
      </c>
      <c r="I5" s="8">
        <f>Brownsville!I5</f>
        <v>2008</v>
      </c>
      <c r="J5" s="8">
        <f>Brownsville!J5</f>
        <v>2009</v>
      </c>
      <c r="K5" s="8">
        <f>Brownsville!K5</f>
        <v>2010</v>
      </c>
      <c r="L5" s="8">
        <f>Brownsville!L5</f>
        <v>2011</v>
      </c>
      <c r="M5" s="8">
        <f>Brownsville!M5</f>
        <v>2012</v>
      </c>
      <c r="N5" s="8">
        <f>Brownsville!N5</f>
        <v>2013</v>
      </c>
      <c r="O5" s="8">
        <f>Brownsville!O5</f>
        <v>2014</v>
      </c>
      <c r="P5" s="8">
        <f>Brownsville!P5</f>
        <v>2015</v>
      </c>
      <c r="Q5" s="8">
        <f>Brownsville!Q5</f>
        <v>2016</v>
      </c>
      <c r="R5" s="8">
        <f>Brownsville!R5</f>
        <v>2017</v>
      </c>
      <c r="S5" s="8">
        <f>Brownsville!S5</f>
        <v>2018</v>
      </c>
      <c r="T5" s="8">
        <f>Brownsville!T5</f>
        <v>2019</v>
      </c>
      <c r="U5" s="8">
        <f>Brownsville!U5</f>
        <v>2020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55">
      <c r="A6" s="2"/>
      <c r="B6" s="41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1023.9638619031831</v>
      </c>
      <c r="AA7" s="470">
        <f>C10+C11</f>
        <v>1054.6827777602787</v>
      </c>
      <c r="AB7" s="470">
        <f>D10+D11</f>
        <v>1086.323261093087</v>
      </c>
      <c r="AC7" s="470">
        <f t="shared" ref="AC7:AS7" si="0">E16</f>
        <v>781.26031592587947</v>
      </c>
      <c r="AD7" s="470">
        <f t="shared" si="0"/>
        <v>804.69812540365581</v>
      </c>
      <c r="AE7" s="470">
        <f t="shared" si="0"/>
        <v>828.83906916576552</v>
      </c>
      <c r="AF7" s="470">
        <f t="shared" si="0"/>
        <v>853.70424124073861</v>
      </c>
      <c r="AG7" s="470">
        <f t="shared" si="0"/>
        <v>879.31536847796065</v>
      </c>
      <c r="AH7" s="470">
        <f t="shared" si="0"/>
        <v>905.69482953229942</v>
      </c>
      <c r="AI7" s="470">
        <f t="shared" si="0"/>
        <v>932.86567441826844</v>
      </c>
      <c r="AJ7" s="470">
        <f t="shared" si="0"/>
        <v>960.85164465081652</v>
      </c>
      <c r="AK7" s="470">
        <f t="shared" si="0"/>
        <v>989.67719399034092</v>
      </c>
      <c r="AL7" s="470">
        <f t="shared" si="0"/>
        <v>1019.3675098100509</v>
      </c>
      <c r="AM7" s="470">
        <f t="shared" si="0"/>
        <v>1049.9485351043527</v>
      </c>
      <c r="AN7" s="470">
        <f t="shared" si="0"/>
        <v>1081.4469911574834</v>
      </c>
      <c r="AO7" s="470">
        <f t="shared" si="0"/>
        <v>1113.8904008922077</v>
      </c>
      <c r="AP7" s="470">
        <f t="shared" si="0"/>
        <v>1147.3071129189739</v>
      </c>
      <c r="AQ7" s="470">
        <f t="shared" si="0"/>
        <v>1181.7263263065431</v>
      </c>
      <c r="AR7" s="470">
        <f t="shared" si="0"/>
        <v>1217.1781160957394</v>
      </c>
      <c r="AS7" s="470">
        <f t="shared" si="0"/>
        <v>1253.6934595786115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69">
        <v>0</v>
      </c>
      <c r="Z8" s="491">
        <f>B23+B24</f>
        <v>1023.9638619031831</v>
      </c>
      <c r="AA8" s="491">
        <f>C23+C24</f>
        <v>1054.6827777602787</v>
      </c>
      <c r="AB8" s="491">
        <f>D23+D24</f>
        <v>1086.323261093087</v>
      </c>
      <c r="AC8" s="491">
        <f t="shared" ref="AC8:AS8" si="1">E23+1/3*E24</f>
        <v>781.26031592587947</v>
      </c>
      <c r="AD8" s="491">
        <f t="shared" si="1"/>
        <v>804.69812540365592</v>
      </c>
      <c r="AE8" s="491">
        <f t="shared" si="1"/>
        <v>828.83906916576552</v>
      </c>
      <c r="AF8" s="491">
        <f t="shared" si="1"/>
        <v>853.70424124073861</v>
      </c>
      <c r="AG8" s="491">
        <f t="shared" si="1"/>
        <v>879.31536847796076</v>
      </c>
      <c r="AH8" s="491">
        <f t="shared" si="1"/>
        <v>905.69482953229954</v>
      </c>
      <c r="AI8" s="491">
        <f t="shared" si="1"/>
        <v>932.86567441826855</v>
      </c>
      <c r="AJ8" s="491">
        <f t="shared" si="1"/>
        <v>960.85164465081652</v>
      </c>
      <c r="AK8" s="491">
        <f t="shared" si="1"/>
        <v>989.67719399034104</v>
      </c>
      <c r="AL8" s="491">
        <f t="shared" si="1"/>
        <v>1019.3675098100512</v>
      </c>
      <c r="AM8" s="491">
        <f t="shared" si="1"/>
        <v>1049.9485351043529</v>
      </c>
      <c r="AN8" s="491">
        <f t="shared" si="1"/>
        <v>1081.4469911574836</v>
      </c>
      <c r="AO8" s="491">
        <f t="shared" si="1"/>
        <v>1113.8904008922077</v>
      </c>
      <c r="AP8" s="491">
        <f t="shared" si="1"/>
        <v>1147.3071129189741</v>
      </c>
      <c r="AQ8" s="491">
        <f t="shared" si="1"/>
        <v>1181.7263263065433</v>
      </c>
      <c r="AR8" s="491">
        <f t="shared" si="1"/>
        <v>1217.1781160957396</v>
      </c>
      <c r="AS8" s="491">
        <f t="shared" si="1"/>
        <v>1253.6934595786117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Assumption'!C27*12*Assumptions!$D$9</f>
        <v>22368</v>
      </c>
      <c r="C9" s="56">
        <f>'Power Price Assumption'!D27*12*Assumptions!$D$9</f>
        <v>22368</v>
      </c>
      <c r="D9" s="56">
        <f>'Power Price Assumption'!E27*12*Assumptions!$D$9</f>
        <v>22368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67104</v>
      </c>
      <c r="X9" s="16"/>
      <c r="Y9" s="469"/>
      <c r="Z9" s="471">
        <f>Z7-Z8</f>
        <v>0</v>
      </c>
      <c r="AA9" s="471">
        <f t="shared" ref="AA9:AS9" si="2">AA7-AA8</f>
        <v>0</v>
      </c>
      <c r="AB9" s="471">
        <f t="shared" si="2"/>
        <v>0</v>
      </c>
      <c r="AC9" s="471">
        <f t="shared" si="2"/>
        <v>0</v>
      </c>
      <c r="AD9" s="471">
        <f t="shared" si="2"/>
        <v>0</v>
      </c>
      <c r="AE9" s="471">
        <f t="shared" si="2"/>
        <v>0</v>
      </c>
      <c r="AF9" s="471">
        <f t="shared" si="2"/>
        <v>0</v>
      </c>
      <c r="AG9" s="471">
        <f t="shared" si="2"/>
        <v>0</v>
      </c>
      <c r="AH9" s="471">
        <f t="shared" si="2"/>
        <v>0</v>
      </c>
      <c r="AI9" s="471">
        <f t="shared" si="2"/>
        <v>0</v>
      </c>
      <c r="AJ9" s="471">
        <f t="shared" si="2"/>
        <v>0</v>
      </c>
      <c r="AK9" s="471">
        <f t="shared" si="2"/>
        <v>0</v>
      </c>
      <c r="AL9" s="471">
        <f t="shared" si="2"/>
        <v>0</v>
      </c>
      <c r="AM9" s="471">
        <f t="shared" si="2"/>
        <v>0</v>
      </c>
      <c r="AN9" s="471">
        <f t="shared" si="2"/>
        <v>0</v>
      </c>
      <c r="AO9" s="471">
        <f t="shared" si="2"/>
        <v>0</v>
      </c>
      <c r="AP9" s="471">
        <f t="shared" si="2"/>
        <v>0</v>
      </c>
      <c r="AQ9" s="471">
        <f t="shared" si="2"/>
        <v>0</v>
      </c>
      <c r="AR9" s="471">
        <f t="shared" si="2"/>
        <v>0</v>
      </c>
      <c r="AS9" s="471">
        <f t="shared" si="2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Assumptions!D19*Assumptions!D17/1000*(1+Assumptions!$D$25)</f>
        <v>560.4638619031831</v>
      </c>
      <c r="C10" s="56">
        <f>B10*(1+Assumptions!$D$25)</f>
        <v>577.27777776027858</v>
      </c>
      <c r="D10" s="56">
        <f>C10*(1+Assumptions!$D$25)</f>
        <v>594.59611109308696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1732.3377507565488</v>
      </c>
      <c r="X10" s="16"/>
      <c r="Y10" s="469"/>
      <c r="Z10" s="471"/>
      <c r="AA10" s="471"/>
      <c r="AB10" s="471"/>
      <c r="AC10" s="471"/>
      <c r="AD10" s="471"/>
      <c r="AE10" s="471"/>
      <c r="AF10" s="471"/>
      <c r="AG10" s="471"/>
      <c r="AH10" s="471"/>
      <c r="AI10" s="471"/>
      <c r="AJ10" s="471"/>
      <c r="AK10" s="471"/>
      <c r="AL10" s="471"/>
      <c r="AM10" s="471"/>
      <c r="AN10" s="471"/>
      <c r="AO10" s="471"/>
      <c r="AP10" s="471"/>
      <c r="AQ10" s="471"/>
      <c r="AR10" s="471"/>
      <c r="AS10" s="471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Assumptions!$D$18*Assumptions!$D$11*Assumptions!$D$8/1000*(1+Assumptions!$D$25)</f>
        <v>463.5</v>
      </c>
      <c r="C11" s="91">
        <f>B11*(1+Assumptions!$D$25)</f>
        <v>477.40500000000003</v>
      </c>
      <c r="D11" s="91">
        <f>C11*(1+Assumptions!$D$25)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Contract'!$C$17/3</f>
        <v>8258.7388798454285</v>
      </c>
      <c r="C12" s="127">
        <f>'Amortization of Power Contract'!$C$17/3</f>
        <v>8258.7388798454285</v>
      </c>
      <c r="D12" s="127">
        <f>'Amortization of Power Contract'!$C$17/3</f>
        <v>8258.7388798454285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24776.216639536287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Assumption'!F27*Assumptions!$D$9*12</f>
        <v>35899.195851846322</v>
      </c>
      <c r="F15" s="19">
        <f>'Power Price Assumption'!G27*Assumptions!$D$9*12</f>
        <v>37679.306973852152</v>
      </c>
      <c r="G15" s="19">
        <f>'Power Price Assumption'!H27*Assumptions!$D$9*12</f>
        <v>38162.495338976369</v>
      </c>
      <c r="H15" s="19">
        <f>'Power Price Assumption'!I27*Assumptions!$D$9*12</f>
        <v>38651.879969768488</v>
      </c>
      <c r="I15" s="19">
        <f>'Power Price Assumption'!J27*Assumptions!$D$9*12</f>
        <v>39147.540325319365</v>
      </c>
      <c r="J15" s="19">
        <f>'Power Price Assumption'!K27*Assumptions!$D$9*12</f>
        <v>39649.556883679979</v>
      </c>
      <c r="K15" s="19">
        <f>'Power Price Assumption'!L27*Assumptions!$D$9*12</f>
        <v>40158.011154928136</v>
      </c>
      <c r="L15" s="19">
        <f>'Power Price Assumption'!M27*Assumptions!$D$9*12</f>
        <v>40917.887274189954</v>
      </c>
      <c r="M15" s="19">
        <f>'Power Price Assumption'!N27*Assumptions!$D$9*12</f>
        <v>41692.141887306876</v>
      </c>
      <c r="N15" s="19">
        <f>'Power Price Assumption'!O27*Assumptions!$D$9*12</f>
        <v>42481.047066371051</v>
      </c>
      <c r="O15" s="19">
        <f>'Power Price Assumption'!P27*Assumptions!$D$9*12</f>
        <v>43284.880031664965</v>
      </c>
      <c r="P15" s="19">
        <f>'Power Price Assumption'!Q27*Assumptions!$D$9*12</f>
        <v>44103.923249076368</v>
      </c>
      <c r="Q15" s="19">
        <f>'Power Price Assumption'!R27*Assumptions!$D$9*12</f>
        <v>44733.17225805152</v>
      </c>
      <c r="R15" s="19">
        <f>'Power Price Assumption'!S27*Assumptions!$D$9*12</f>
        <v>45371.399024244776</v>
      </c>
      <c r="S15" s="19">
        <f>'Power Price Assumption'!T27*Assumptions!$D$9*12</f>
        <v>46018.731637050834</v>
      </c>
      <c r="T15" s="19">
        <f>'Power Price Assumption'!U27*Assumptions!$D$9*12</f>
        <v>46675.300013369</v>
      </c>
      <c r="U15" s="19">
        <f>'Power Price Assumption'!V27*Assumptions!$D$9*12</f>
        <v>47341.235923677086</v>
      </c>
      <c r="W15" s="91">
        <f>SUM(B15:U15)</f>
        <v>711967.70486337319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1/3*Assumptions!$D$18*Assumptions!$D$11*Assumptions!$D$8/1000*(1+Assumptions!$D$25)^(E5-2000)+Assumptions!$D$19*Assumptions!$D$17*(1+Assumptions!$D$25)^(E5-2000)/1000</f>
        <v>781.26031592587947</v>
      </c>
      <c r="F16" s="127">
        <f>1/3*Assumptions!$D$18*Assumptions!$D$11*Assumptions!$D$8/1000*(1+Assumptions!$D$25)^(F5-2000)+Assumptions!$D$19*Assumptions!$D$17*(1+Assumptions!$D$25)^(F5-2000)/1000</f>
        <v>804.69812540365581</v>
      </c>
      <c r="G16" s="127">
        <f>1/3*Assumptions!$D$18*Assumptions!$D$11*Assumptions!$D$8/1000*(1+Assumptions!$D$25)^(G5-2000)+Assumptions!$D$19*Assumptions!$D$17*(1+Assumptions!$D$25)^(G5-2000)/1000</f>
        <v>828.83906916576552</v>
      </c>
      <c r="H16" s="127">
        <f>1/3*Assumptions!$D$18*Assumptions!$D$11*Assumptions!$D$8/1000*(1+Assumptions!$D$25)^(H5-2000)+Assumptions!$D$19*Assumptions!$D$17*(1+Assumptions!$D$25)^(H5-2000)/1000</f>
        <v>853.70424124073861</v>
      </c>
      <c r="I16" s="127">
        <f>1/3*Assumptions!$D$18*Assumptions!$D$11*Assumptions!$D$8/1000*(1+Assumptions!$D$25)^(I5-2000)+Assumptions!$D$19*Assumptions!$D$17*(1+Assumptions!$D$25)^(I5-2000)/1000</f>
        <v>879.31536847796065</v>
      </c>
      <c r="J16" s="127">
        <f>1/3*Assumptions!$D$18*Assumptions!$D$11*Assumptions!$D$8/1000*(1+Assumptions!$D$25)^(J5-2000)+Assumptions!$D$19*Assumptions!$D$17*(1+Assumptions!$D$25)^(J5-2000)/1000</f>
        <v>905.69482953229942</v>
      </c>
      <c r="K16" s="127">
        <f>1/3*Assumptions!$D$18*Assumptions!$D$11*Assumptions!$D$8/1000*(1+Assumptions!$D$25)^(K5-2000)+Assumptions!$D$19*Assumptions!$D$17*(1+Assumptions!$D$25)^(K5-2000)/1000</f>
        <v>932.86567441826844</v>
      </c>
      <c r="L16" s="127">
        <f>1/3*Assumptions!$D$18*Assumptions!$D$11*Assumptions!$D$8/1000*(1+Assumptions!$D$25)^(L5-2000)+Assumptions!$D$19*Assumptions!$D$17*(1+Assumptions!$D$25)^(L5-2000)/1000</f>
        <v>960.85164465081652</v>
      </c>
      <c r="M16" s="127">
        <f>1/3*Assumptions!$D$18*Assumptions!$D$11*Assumptions!$D$8/1000*(1+Assumptions!$D$25)^(M5-2000)+Assumptions!$D$19*Assumptions!$D$17*(1+Assumptions!$D$25)^(M5-2000)/1000</f>
        <v>989.67719399034092</v>
      </c>
      <c r="N16" s="127">
        <f>1/3*Assumptions!$D$18*Assumptions!$D$11*Assumptions!$D$8/1000*(1+Assumptions!$D$25)^(N5-2000)+Assumptions!$D$19*Assumptions!$D$17*(1+Assumptions!$D$25)^(N5-2000)/1000</f>
        <v>1019.3675098100509</v>
      </c>
      <c r="O16" s="127">
        <f>1/3*Assumptions!$D$18*Assumptions!$D$11*Assumptions!$D$8/1000*(1+Assumptions!$D$25)^(O5-2000)+Assumptions!$D$19*Assumptions!$D$17*(1+Assumptions!$D$25)^(O5-2000)/1000</f>
        <v>1049.9485351043527</v>
      </c>
      <c r="P16" s="127">
        <f>1/3*Assumptions!$D$18*Assumptions!$D$11*Assumptions!$D$8/1000*(1+Assumptions!$D$25)^(P5-2000)+Assumptions!$D$19*Assumptions!$D$17*(1+Assumptions!$D$25)^(P5-2000)/1000</f>
        <v>1081.4469911574834</v>
      </c>
      <c r="Q16" s="127">
        <f>1/3*Assumptions!$D$18*Assumptions!$D$11*Assumptions!$D$8/1000*(1+Assumptions!$D$25)^(Q5-2000)+Assumptions!$D$19*Assumptions!$D$17*(1+Assumptions!$D$25)^(Q5-2000)/1000</f>
        <v>1113.8904008922077</v>
      </c>
      <c r="R16" s="127">
        <f>1/3*Assumptions!$D$18*Assumptions!$D$11*Assumptions!$D$8/1000*(1+Assumptions!$D$25)^(R5-2000)+Assumptions!$D$19*Assumptions!$D$17*(1+Assumptions!$D$25)^(R5-2000)/1000</f>
        <v>1147.3071129189739</v>
      </c>
      <c r="S16" s="127">
        <f>1/3*Assumptions!$D$18*Assumptions!$D$11*Assumptions!$D$8/1000*(1+Assumptions!$D$25)^(S5-2000)+Assumptions!$D$19*Assumptions!$D$17*(1+Assumptions!$D$25)^(S5-2000)/1000</f>
        <v>1181.7263263065431</v>
      </c>
      <c r="T16" s="127">
        <f>1/3*Assumptions!$D$18*Assumptions!$D$11*Assumptions!$D$8/1000*(1+Assumptions!$D$25)^(T5-2000)+Assumptions!$D$19*Assumptions!$D$17*(1+Assumptions!$D$25)^(T5-2000)/1000</f>
        <v>1217.1781160957394</v>
      </c>
      <c r="U16" s="127">
        <f>1/3*Assumptions!$D$18*Assumptions!$D$11*Assumptions!$D$8/1000*(1+Assumptions!$D$25)^(U5-2000)+Assumptions!$D$19*Assumptions!$D$17*(1+Assumptions!$D$25)^(U5-2000)/1000</f>
        <v>1253.6934595786115</v>
      </c>
      <c r="W16" s="91">
        <f>SUM(B16:U16)</f>
        <v>17001.46491466969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238.74900338291783</v>
      </c>
      <c r="C18" s="198">
        <f>(SUM(C9:C11)-SUM(C22:C27))*'Summary Output'!$B$29/4</f>
        <v>238.14968365299202</v>
      </c>
      <c r="D18" s="198">
        <f>(SUM(D9:D11)-SUM(D22:D27))*'Summary Output'!$B$29/4</f>
        <v>237.52696894300735</v>
      </c>
      <c r="E18" s="198">
        <f>(SUM(E9:E16)-SUM(E22:E27))*'Summary Output'!$B$29/4</f>
        <v>402.02049133924362</v>
      </c>
      <c r="F18" s="198">
        <f>(SUM(F9:F16)-SUM(F22:F27))*'Summary Output'!$B$29/4</f>
        <v>423.71743270860929</v>
      </c>
      <c r="G18" s="198">
        <f>(SUM(G9:G16)-SUM(G22:G27))*'Summary Output'!$B$29/4</f>
        <v>429.18063940357735</v>
      </c>
      <c r="H18" s="198">
        <f>(SUM(H9:H16)-SUM(H22:H27))*'Summary Output'!$B$29/4</f>
        <v>434.71393130681213</v>
      </c>
      <c r="I18" s="198">
        <f>(SUM(I9:I16)-SUM(I22:I27))*'Summary Output'!$B$29/4</f>
        <v>440.25984653613216</v>
      </c>
      <c r="J18" s="198">
        <f>(SUM(J9:J16)-SUM(J22:J27))*'Summary Output'!$B$29/4</f>
        <v>445.97546838392623</v>
      </c>
      <c r="K18" s="198">
        <f>(SUM(K9:K16)-SUM(K22:K27))*'Summary Output'!$B$29/4</f>
        <v>446.60881257484789</v>
      </c>
      <c r="L18" s="198">
        <f>(SUM(L9:L16)-SUM(L22:L27))*'Summary Output'!$B$29/4</f>
        <v>457.43337223631181</v>
      </c>
      <c r="M18" s="198">
        <f>(SUM(M9:M16)-SUM(M22:M27))*'Summary Output'!$B$29/4</f>
        <v>468.63010401441744</v>
      </c>
      <c r="N18" s="198">
        <f>(SUM(N9:N16)-SUM(N22:N27))*'Summary Output'!$B$29/4</f>
        <v>479.06247978608718</v>
      </c>
      <c r="O18" s="198">
        <f>(SUM(O9:O16)-SUM(O22:O27))*'Summary Output'!$B$29/4</f>
        <v>488.0472943321401</v>
      </c>
      <c r="P18" s="198">
        <f>(SUM(P9:P16)-SUM(P22:P27))*'Summary Output'!$B$29/4</f>
        <v>497.18322956778013</v>
      </c>
      <c r="Q18" s="198">
        <f>(SUM(Q9:Q16)-SUM(Q22:Q27))*'Summary Output'!$B$29/4</f>
        <v>503.83311487279008</v>
      </c>
      <c r="R18" s="198">
        <f>(SUM(R9:R16)-SUM(R22:R27))*'Summary Output'!$B$29/4</f>
        <v>510.48125437039403</v>
      </c>
      <c r="S18" s="198">
        <f>(SUM(S9:S16)-SUM(S22:S27))*'Summary Output'!$B$29/4</f>
        <v>517.19927221427429</v>
      </c>
      <c r="T18" s="198">
        <f>(SUM(T9:T16)-SUM(T22:T27))*'Summary Output'!$B$29/4</f>
        <v>523.98744907967409</v>
      </c>
      <c r="U18" s="198">
        <f>(SUM(U9:U16)-SUM(U22:U27))*'Summary Output'!$B$29/4</f>
        <v>530.84605156890939</v>
      </c>
      <c r="W18" s="91">
        <f>SUM(B18:U18)</f>
        <v>8713.6059002748443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31889.451745131526</v>
      </c>
      <c r="C19" s="56">
        <f t="shared" ref="C19:U19" si="3">SUM(C9:C18)</f>
        <v>31919.571341258699</v>
      </c>
      <c r="D19" s="56">
        <f t="shared" si="3"/>
        <v>31950.589109881519</v>
      </c>
      <c r="E19" s="56">
        <f t="shared" si="3"/>
        <v>37082.476659111446</v>
      </c>
      <c r="F19" s="56">
        <f t="shared" si="3"/>
        <v>38907.72253196442</v>
      </c>
      <c r="G19" s="56">
        <f t="shared" si="3"/>
        <v>39420.515047545705</v>
      </c>
      <c r="H19" s="56">
        <f t="shared" si="3"/>
        <v>39940.298142316038</v>
      </c>
      <c r="I19" s="56">
        <f t="shared" si="3"/>
        <v>40467.115540333456</v>
      </c>
      <c r="J19" s="56">
        <f t="shared" si="3"/>
        <v>41001.227181596209</v>
      </c>
      <c r="K19" s="56">
        <f t="shared" si="3"/>
        <v>41537.485641921252</v>
      </c>
      <c r="L19" s="56">
        <f t="shared" si="3"/>
        <v>42336.172291077084</v>
      </c>
      <c r="M19" s="56">
        <f t="shared" si="3"/>
        <v>43150.449185311634</v>
      </c>
      <c r="N19" s="56">
        <f t="shared" si="3"/>
        <v>43979.477055967189</v>
      </c>
      <c r="O19" s="56">
        <f t="shared" si="3"/>
        <v>44822.875861101456</v>
      </c>
      <c r="P19" s="56">
        <f t="shared" si="3"/>
        <v>45682.553469801634</v>
      </c>
      <c r="Q19" s="56">
        <f t="shared" si="3"/>
        <v>46350.895773816519</v>
      </c>
      <c r="R19" s="56">
        <f t="shared" si="3"/>
        <v>47029.187391534149</v>
      </c>
      <c r="S19" s="56">
        <f t="shared" si="3"/>
        <v>47717.657235571649</v>
      </c>
      <c r="T19" s="56">
        <f t="shared" si="3"/>
        <v>48416.465578544412</v>
      </c>
      <c r="U19" s="56">
        <f t="shared" si="3"/>
        <v>49125.775434824609</v>
      </c>
      <c r="W19" s="91">
        <f>SUM(B19:U19)</f>
        <v>832727.96221861057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Assumptions!D28*(1+Assumptions!$D$25)</f>
        <v>1772.9410188000002</v>
      </c>
      <c r="C22" s="127">
        <f>B22*(1+Assumptions!$D$25)</f>
        <v>1826.1292493640003</v>
      </c>
      <c r="D22" s="127">
        <f>C22*(1+Assumptions!$D$25)</f>
        <v>1880.9131268449203</v>
      </c>
      <c r="E22" s="127">
        <f>D22*(1+Assumptions!$D$25)</f>
        <v>1937.340520650268</v>
      </c>
      <c r="F22" s="127">
        <f>E22*(1+Assumptions!$D$25)</f>
        <v>1995.4607362697761</v>
      </c>
      <c r="G22" s="127">
        <f>F22*(1+Assumptions!$D$25)</f>
        <v>2055.3245583578696</v>
      </c>
      <c r="H22" s="127">
        <f>G22*(1+Assumptions!$D$25)</f>
        <v>2116.9842951086057</v>
      </c>
      <c r="I22" s="127">
        <f>H22*(1+Assumptions!$D$25)</f>
        <v>2180.4938239618641</v>
      </c>
      <c r="J22" s="127">
        <f>I22*(1+Assumptions!$D$25)</f>
        <v>2245.9086386807203</v>
      </c>
      <c r="K22" s="127">
        <f>J22*(1+Assumptions!$D$25)</f>
        <v>2313.2858978411418</v>
      </c>
      <c r="L22" s="127">
        <f>K22*(1+Assumptions!$D$25)</f>
        <v>2382.6844747763762</v>
      </c>
      <c r="M22" s="127">
        <f>L22*(1+Assumptions!$D$25)</f>
        <v>2454.1650090196677</v>
      </c>
      <c r="N22" s="127">
        <f>M22*(1+Assumptions!$D$25)</f>
        <v>2527.7899592902577</v>
      </c>
      <c r="O22" s="127">
        <f>N22*(1+Assumptions!$D$25)</f>
        <v>2603.6236580689656</v>
      </c>
      <c r="P22" s="127">
        <f>O22*(1+Assumptions!$D$25)</f>
        <v>2681.7323678110347</v>
      </c>
      <c r="Q22" s="127">
        <f>P22*(1+Assumptions!$D$25)</f>
        <v>2762.1843388453658</v>
      </c>
      <c r="R22" s="127">
        <f>Q22*(1+Assumptions!$D$25)</f>
        <v>2845.049869010727</v>
      </c>
      <c r="S22" s="127">
        <f>R22*(1+Assumptions!$D$25)</f>
        <v>2930.4013650810489</v>
      </c>
      <c r="T22" s="127">
        <f>S22*(1+Assumptions!$D$25)</f>
        <v>3018.3134060334805</v>
      </c>
      <c r="U22" s="127">
        <f>T22*(1+Assumptions!$D$25)</f>
        <v>3108.8628082144851</v>
      </c>
      <c r="W22" s="91">
        <f t="shared" ref="W22:W28" si="4">SUM(B22:U22)</f>
        <v>47639.589122030571</v>
      </c>
    </row>
    <row r="23" spans="1:55">
      <c r="A23" s="3" t="s">
        <v>49</v>
      </c>
      <c r="B23" s="127">
        <f>Assumptions!$D$29*(1+Assumptions!$D$25)</f>
        <v>560.4638619031831</v>
      </c>
      <c r="C23" s="127">
        <f>B23*(1+Assumptions!$D$25)</f>
        <v>577.27777776027858</v>
      </c>
      <c r="D23" s="127">
        <f>C23*(1+Assumptions!$D$25)</f>
        <v>594.59611109308696</v>
      </c>
      <c r="E23" s="127">
        <f>Assumptions!$D$19*Assumptions!$D$23*(1+Assumptions!$D$25)^(E5-2000)/1000</f>
        <v>612.43399442587952</v>
      </c>
      <c r="F23" s="127">
        <f>Assumptions!$D$19*Assumptions!$D$23*(1+Assumptions!$D$25)^(F5-2000)/1000</f>
        <v>630.80701425865584</v>
      </c>
      <c r="G23" s="127">
        <f>Assumptions!$D$19*Assumptions!$D$23*(1+Assumptions!$D$25)^(G5-2000)/1000</f>
        <v>649.73122468641554</v>
      </c>
      <c r="H23" s="127">
        <f>Assumptions!$D$19*Assumptions!$D$23*(1+Assumptions!$D$25)^(H5-2000)/1000</f>
        <v>669.22316142700811</v>
      </c>
      <c r="I23" s="127">
        <f>Assumptions!$D$19*Assumptions!$D$23*(1+Assumptions!$D$25)^(I5-2000)/1000</f>
        <v>689.29985626981829</v>
      </c>
      <c r="J23" s="127">
        <f>Assumptions!$D$19*Assumptions!$D$23*(1+Assumptions!$D$25)^(J5-2000)/1000</f>
        <v>709.97885195791275</v>
      </c>
      <c r="K23" s="127">
        <f>Assumptions!$D$19*Assumptions!$D$23*(1+Assumptions!$D$25)^(K5-2000)/1000</f>
        <v>731.27821751665022</v>
      </c>
      <c r="L23" s="127">
        <f>Assumptions!$D$19*Assumptions!$D$23*(1+Assumptions!$D$25)^(L5-2000)/1000</f>
        <v>753.21656404214968</v>
      </c>
      <c r="M23" s="127">
        <f>Assumptions!$D$19*Assumptions!$D$23*(1+Assumptions!$D$25)^(M5-2000)/1000</f>
        <v>775.81306096341416</v>
      </c>
      <c r="N23" s="127">
        <f>Assumptions!$D$19*Assumptions!$D$23*(1+Assumptions!$D$25)^(N5-2000)/1000</f>
        <v>799.08745279231641</v>
      </c>
      <c r="O23" s="127">
        <f>Assumptions!$D$19*Assumptions!$D$23*(1+Assumptions!$D$25)^(O5-2000)/1000</f>
        <v>823.06007637608604</v>
      </c>
      <c r="P23" s="127">
        <f>Assumptions!$D$19*Assumptions!$D$23*(1+Assumptions!$D$25)^(P5-2000)/1000</f>
        <v>847.75187866736871</v>
      </c>
      <c r="Q23" s="127">
        <f>Assumptions!$D$19*Assumptions!$D$23*(1+Assumptions!$D$25)^(Q5-2000)/1000</f>
        <v>873.18443502738955</v>
      </c>
      <c r="R23" s="127">
        <f>Assumptions!$D$19*Assumptions!$D$23*(1+Assumptions!$D$25)^(R5-2000)/1000</f>
        <v>899.37996807821128</v>
      </c>
      <c r="S23" s="127">
        <f>Assumptions!$D$19*Assumptions!$D$23*(1+Assumptions!$D$25)^(S5-2000)/1000</f>
        <v>926.3613671205577</v>
      </c>
      <c r="T23" s="127">
        <f>Assumptions!$D$19*Assumptions!$D$23*(1+Assumptions!$D$25)^(T5-2000)/1000</f>
        <v>954.15220813417432</v>
      </c>
      <c r="U23" s="127">
        <f>Assumptions!$D$19*Assumptions!$D$23*(1+Assumptions!$D$25)^(U5-2000)/1000</f>
        <v>982.77677437819955</v>
      </c>
      <c r="W23" s="91">
        <f t="shared" si="4"/>
        <v>15059.873856878756</v>
      </c>
    </row>
    <row r="24" spans="1:55">
      <c r="A24" s="3" t="s">
        <v>256</v>
      </c>
      <c r="B24" s="127">
        <f>Assumptions!$D$24*Assumptions!$D$11*Assumptions!$D$8/1000*(1+Assumptions!$D$25)</f>
        <v>463.5</v>
      </c>
      <c r="C24" s="91">
        <f>B24*(1+Assumptions!$D$25)</f>
        <v>477.40500000000003</v>
      </c>
      <c r="D24" s="91">
        <f>C24*(1+Assumptions!$D$25)</f>
        <v>491.72715000000005</v>
      </c>
      <c r="E24" s="91">
        <f>D24*(1+Assumptions!$D$25)</f>
        <v>506.47896450000007</v>
      </c>
      <c r="F24" s="91">
        <f>E24*(1+Assumptions!$D$25)</f>
        <v>521.67333343500013</v>
      </c>
      <c r="G24" s="91">
        <f>F24*(1+Assumptions!$D$25)</f>
        <v>537.32353343805016</v>
      </c>
      <c r="H24" s="91">
        <f>G24*(1+Assumptions!$D$25)</f>
        <v>553.44323944119174</v>
      </c>
      <c r="I24" s="91">
        <f>H24*(1+Assumptions!$D$25)</f>
        <v>570.04653662442752</v>
      </c>
      <c r="J24" s="91">
        <f>I24*(1+Assumptions!$D$25)</f>
        <v>587.14793272316035</v>
      </c>
      <c r="K24" s="91">
        <f>J24*(1+Assumptions!$D$25)</f>
        <v>604.76237070485513</v>
      </c>
      <c r="L24" s="91">
        <f>K24*(1+Assumptions!$D$25)</f>
        <v>622.90524182600075</v>
      </c>
      <c r="M24" s="91">
        <f>L24*(1+Assumptions!$D$25)</f>
        <v>641.59239908078075</v>
      </c>
      <c r="N24" s="91">
        <f>M24*(1+Assumptions!$D$25)</f>
        <v>660.84017105320424</v>
      </c>
      <c r="O24" s="91">
        <f>N24*(1+Assumptions!$D$25)</f>
        <v>680.66537618480038</v>
      </c>
      <c r="P24" s="91">
        <f>O24*(1+Assumptions!$D$25)</f>
        <v>701.08533747034437</v>
      </c>
      <c r="Q24" s="91">
        <f>P24*(1+Assumptions!$D$25)</f>
        <v>722.11789759445469</v>
      </c>
      <c r="R24" s="91">
        <f>Q24*(1+Assumptions!$D$25)</f>
        <v>743.78143452228835</v>
      </c>
      <c r="S24" s="91">
        <f>R24*(1+Assumptions!$D$25)</f>
        <v>766.09487755795703</v>
      </c>
      <c r="T24" s="91">
        <f>S24*(1+Assumptions!$D$25)</f>
        <v>789.07772388469573</v>
      </c>
      <c r="U24" s="91">
        <f>T24*(1+Assumptions!$D$25)</f>
        <v>812.75005560123657</v>
      </c>
      <c r="W24" s="91">
        <f t="shared" si="4"/>
        <v>12454.418575642445</v>
      </c>
    </row>
    <row r="25" spans="1:55">
      <c r="A25" s="3" t="s">
        <v>112</v>
      </c>
      <c r="B25" s="127">
        <f>Assumptions!D31*(1+Assumptions!$D$25)</f>
        <v>423.2585866666667</v>
      </c>
      <c r="C25" s="127">
        <f>B25*(1+Assumptions!$D$25)</f>
        <v>435.95634426666669</v>
      </c>
      <c r="D25" s="127">
        <f>C25*(1+Assumptions!$D$25)</f>
        <v>449.03503459466668</v>
      </c>
      <c r="E25" s="127">
        <f>D25*(1+Assumptions!$D$25)</f>
        <v>462.50608563250671</v>
      </c>
      <c r="F25" s="127">
        <f>E25*(1+Assumptions!$D$25)</f>
        <v>476.38126820148193</v>
      </c>
      <c r="G25" s="127">
        <f>F25*(1+Assumptions!$D$25)</f>
        <v>490.67270624752638</v>
      </c>
      <c r="H25" s="127">
        <f>G25*(1+Assumptions!$D$25)</f>
        <v>505.39288743495217</v>
      </c>
      <c r="I25" s="127">
        <f>H25*(1+Assumptions!$D$25)</f>
        <v>520.55467405800073</v>
      </c>
      <c r="J25" s="127">
        <f>I25*(1+Assumptions!$D$25)</f>
        <v>536.17131427974073</v>
      </c>
      <c r="K25" s="127">
        <f>J25*(1+Assumptions!$D$25)</f>
        <v>552.25645370813299</v>
      </c>
      <c r="L25" s="127">
        <f>K25*(1+Assumptions!$D$25)</f>
        <v>568.82414731937695</v>
      </c>
      <c r="M25" s="127">
        <f>L25*(1+Assumptions!$D$25)</f>
        <v>585.8888717389583</v>
      </c>
      <c r="N25" s="127">
        <f>M25*(1+Assumptions!$D$25)</f>
        <v>603.46553789112704</v>
      </c>
      <c r="O25" s="127">
        <f>N25*(1+Assumptions!$D$25)</f>
        <v>621.56950402786083</v>
      </c>
      <c r="P25" s="127">
        <f>O25*(1+Assumptions!$D$25)</f>
        <v>640.2165891486967</v>
      </c>
      <c r="Q25" s="127">
        <f>P25*(1+Assumptions!$D$25)</f>
        <v>659.42308682315763</v>
      </c>
      <c r="R25" s="127">
        <f>Q25*(1+Assumptions!$D$25)</f>
        <v>679.20577942785235</v>
      </c>
      <c r="S25" s="127">
        <f>R25*(1+Assumptions!$D$25)</f>
        <v>699.58195281068788</v>
      </c>
      <c r="T25" s="127">
        <f>S25*(1+Assumptions!$D$25)</f>
        <v>720.5694113950085</v>
      </c>
      <c r="U25" s="127">
        <f>T25*(1+Assumptions!$D$25)</f>
        <v>742.18649373685878</v>
      </c>
      <c r="W25" s="91">
        <f t="shared" si="4"/>
        <v>11373.116729409925</v>
      </c>
    </row>
    <row r="26" spans="1:55">
      <c r="A26" s="3" t="s">
        <v>189</v>
      </c>
      <c r="B26" s="456">
        <v>579.4</v>
      </c>
      <c r="C26" s="456">
        <v>573.6</v>
      </c>
      <c r="D26" s="456">
        <v>567.9</v>
      </c>
      <c r="E26" s="456">
        <v>562.20000000000005</v>
      </c>
      <c r="F26" s="456">
        <v>556.6</v>
      </c>
      <c r="G26" s="456">
        <v>551</v>
      </c>
      <c r="H26" s="456">
        <v>534.5</v>
      </c>
      <c r="I26" s="456">
        <v>518.5</v>
      </c>
      <c r="J26" s="456">
        <v>492.6</v>
      </c>
      <c r="K26" s="456">
        <v>877.7</v>
      </c>
      <c r="L26" s="456">
        <v>694.8</v>
      </c>
      <c r="M26" s="456">
        <v>493.7</v>
      </c>
      <c r="N26" s="456">
        <v>365.7</v>
      </c>
      <c r="O26" s="456">
        <v>365.7</v>
      </c>
      <c r="P26" s="456">
        <v>365.7</v>
      </c>
      <c r="Q26" s="456">
        <v>365.7</v>
      </c>
      <c r="R26" s="456">
        <v>365.7</v>
      </c>
      <c r="S26" s="456">
        <v>365.7</v>
      </c>
      <c r="T26" s="456">
        <v>365.7</v>
      </c>
      <c r="U26" s="456">
        <f>T26</f>
        <v>365.7</v>
      </c>
      <c r="W26" s="91">
        <f t="shared" si="4"/>
        <v>9928.100000000004</v>
      </c>
    </row>
    <row r="27" spans="1:55" s="16" customFormat="1">
      <c r="A27" s="3" t="s">
        <v>185</v>
      </c>
      <c r="B27" s="146">
        <f>B81</f>
        <v>492.48012389990953</v>
      </c>
      <c r="C27" s="146">
        <f t="shared" ref="C27:U27" si="5">C81</f>
        <v>480.3397141299701</v>
      </c>
      <c r="D27" s="146">
        <f t="shared" si="5"/>
        <v>467.99432311982281</v>
      </c>
      <c r="E27" s="146">
        <f t="shared" si="5"/>
        <v>437.85729542405795</v>
      </c>
      <c r="F27" s="146">
        <f t="shared" si="5"/>
        <v>405.68813040215747</v>
      </c>
      <c r="G27" s="146">
        <f t="shared" si="5"/>
        <v>372.83123312608302</v>
      </c>
      <c r="H27" s="146">
        <f t="shared" si="5"/>
        <v>348.9261230525002</v>
      </c>
      <c r="I27" s="146">
        <f t="shared" si="5"/>
        <v>327.17307999264557</v>
      </c>
      <c r="J27" s="146">
        <f t="shared" si="5"/>
        <v>305.40750485665325</v>
      </c>
      <c r="K27" s="146">
        <f t="shared" si="5"/>
        <v>282.88888358778951</v>
      </c>
      <c r="L27" s="146">
        <f t="shared" si="5"/>
        <v>261.63871197191889</v>
      </c>
      <c r="M27" s="146">
        <f t="shared" si="5"/>
        <v>240.25141934100481</v>
      </c>
      <c r="N27" s="146">
        <f t="shared" si="5"/>
        <v>218.53307226722612</v>
      </c>
      <c r="O27" s="146">
        <f t="shared" si="5"/>
        <v>196.42640554040241</v>
      </c>
      <c r="P27" s="146">
        <f t="shared" si="5"/>
        <v>174.22570171400204</v>
      </c>
      <c r="Q27" s="146">
        <f t="shared" si="5"/>
        <v>157.80371083015464</v>
      </c>
      <c r="R27" s="146">
        <f t="shared" si="5"/>
        <v>147.08873649315333</v>
      </c>
      <c r="S27" s="146">
        <f t="shared" si="5"/>
        <v>136.37662364518297</v>
      </c>
      <c r="T27" s="146">
        <f t="shared" si="5"/>
        <v>125.66945364345278</v>
      </c>
      <c r="U27" s="146">
        <f t="shared" si="5"/>
        <v>114.96912581217008</v>
      </c>
      <c r="V27" s="91"/>
      <c r="W27" s="91">
        <f t="shared" si="4"/>
        <v>5694.5693728502583</v>
      </c>
    </row>
    <row r="28" spans="1:55">
      <c r="A28" s="3" t="s">
        <v>62</v>
      </c>
      <c r="B28" s="127">
        <f t="shared" ref="B28:U28" si="6">SUM(B22:B27)</f>
        <v>4292.0435912697594</v>
      </c>
      <c r="C28" s="127">
        <f t="shared" si="6"/>
        <v>4370.708085520916</v>
      </c>
      <c r="D28" s="127">
        <f t="shared" si="6"/>
        <v>4452.1657456524972</v>
      </c>
      <c r="E28" s="127">
        <f t="shared" si="6"/>
        <v>4518.8168606327126</v>
      </c>
      <c r="F28" s="127">
        <f t="shared" si="6"/>
        <v>4586.6104825670709</v>
      </c>
      <c r="G28" s="127">
        <f t="shared" si="6"/>
        <v>4656.8832558559452</v>
      </c>
      <c r="H28" s="127">
        <f t="shared" si="6"/>
        <v>4728.4697064642578</v>
      </c>
      <c r="I28" s="127">
        <f t="shared" si="6"/>
        <v>4806.0679709067563</v>
      </c>
      <c r="J28" s="127">
        <f t="shared" si="6"/>
        <v>4877.2142424981876</v>
      </c>
      <c r="K28" s="127">
        <f t="shared" si="6"/>
        <v>5362.1718233585698</v>
      </c>
      <c r="L28" s="127">
        <f t="shared" si="6"/>
        <v>5284.0691399358229</v>
      </c>
      <c r="M28" s="127">
        <f t="shared" si="6"/>
        <v>5191.4107601438254</v>
      </c>
      <c r="N28" s="127">
        <f t="shared" si="6"/>
        <v>5175.4161932941315</v>
      </c>
      <c r="O28" s="127">
        <f t="shared" si="6"/>
        <v>5291.0450201981148</v>
      </c>
      <c r="P28" s="127">
        <f t="shared" si="6"/>
        <v>5410.7118748114463</v>
      </c>
      <c r="Q28" s="127">
        <f t="shared" si="6"/>
        <v>5540.4134691205227</v>
      </c>
      <c r="R28" s="127">
        <f t="shared" si="6"/>
        <v>5680.2057875322325</v>
      </c>
      <c r="S28" s="127">
        <f t="shared" si="6"/>
        <v>5824.5161862154337</v>
      </c>
      <c r="T28" s="127">
        <f t="shared" si="6"/>
        <v>5973.4822030908117</v>
      </c>
      <c r="U28" s="127">
        <f t="shared" si="6"/>
        <v>6127.2452577429503</v>
      </c>
      <c r="W28" s="91">
        <f t="shared" si="4"/>
        <v>102149.66765681197</v>
      </c>
    </row>
    <row r="29" spans="1:55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32">
        <f t="shared" ref="B31:U31" si="7">B19-B28</f>
        <v>27597.408153861768</v>
      </c>
      <c r="C31" s="132">
        <f t="shared" si="7"/>
        <v>27548.863255737782</v>
      </c>
      <c r="D31" s="132">
        <f t="shared" si="7"/>
        <v>27498.42336422902</v>
      </c>
      <c r="E31" s="132">
        <f t="shared" si="7"/>
        <v>32563.659798478733</v>
      </c>
      <c r="F31" s="132">
        <f t="shared" si="7"/>
        <v>34321.11204939735</v>
      </c>
      <c r="G31" s="132">
        <f t="shared" si="7"/>
        <v>34763.631791689761</v>
      </c>
      <c r="H31" s="132">
        <f t="shared" si="7"/>
        <v>35211.828435851778</v>
      </c>
      <c r="I31" s="132">
        <f t="shared" si="7"/>
        <v>35661.047569426701</v>
      </c>
      <c r="J31" s="132">
        <f t="shared" si="7"/>
        <v>36124.012939098022</v>
      </c>
      <c r="K31" s="132">
        <f t="shared" si="7"/>
        <v>36175.313818562681</v>
      </c>
      <c r="L31" s="132">
        <f t="shared" si="7"/>
        <v>37052.103151141258</v>
      </c>
      <c r="M31" s="132">
        <f t="shared" si="7"/>
        <v>37959.038425167812</v>
      </c>
      <c r="N31" s="132">
        <f t="shared" si="7"/>
        <v>38804.060862673054</v>
      </c>
      <c r="O31" s="132">
        <f t="shared" si="7"/>
        <v>39531.830840903342</v>
      </c>
      <c r="P31" s="132">
        <f t="shared" si="7"/>
        <v>40271.84159499019</v>
      </c>
      <c r="Q31" s="132">
        <f t="shared" si="7"/>
        <v>40810.482304695994</v>
      </c>
      <c r="R31" s="132">
        <f t="shared" si="7"/>
        <v>41348.981604001914</v>
      </c>
      <c r="S31" s="132">
        <f t="shared" si="7"/>
        <v>41893.141049356214</v>
      </c>
      <c r="T31" s="132">
        <f t="shared" si="7"/>
        <v>42442.983375453601</v>
      </c>
      <c r="U31" s="132">
        <f t="shared" si="7"/>
        <v>42998.530177081659</v>
      </c>
      <c r="W31" s="91">
        <f>SUM(B31:U31)</f>
        <v>730578.29456179868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Depreciation!C21</f>
        <v>6693.8699436026827</v>
      </c>
      <c r="C33" s="127">
        <f>Depreciation!D21</f>
        <v>6693.8699436026827</v>
      </c>
      <c r="D33" s="127">
        <f>Depreciation!E21</f>
        <v>6693.8699436026827</v>
      </c>
      <c r="E33" s="127">
        <f>Depreciation!F21</f>
        <v>6693.8699436026827</v>
      </c>
      <c r="F33" s="127">
        <f>Depreciation!G21</f>
        <v>6693.8699436026827</v>
      </c>
      <c r="G33" s="127">
        <f>Depreciation!H21</f>
        <v>6693.8699436026827</v>
      </c>
      <c r="H33" s="127">
        <f>Depreciation!I21</f>
        <v>6693.8699436026827</v>
      </c>
      <c r="I33" s="127">
        <f>Depreciation!J21</f>
        <v>6693.8699436026827</v>
      </c>
      <c r="J33" s="127">
        <f>Depreciation!K21</f>
        <v>6693.8699436026827</v>
      </c>
      <c r="K33" s="127">
        <f>Depreciation!L21</f>
        <v>6693.8699436026827</v>
      </c>
      <c r="L33" s="127">
        <f>Depreciation!M21</f>
        <v>6693.8699436026827</v>
      </c>
      <c r="M33" s="127">
        <f>Depreciation!N21</f>
        <v>6693.8699436026827</v>
      </c>
      <c r="N33" s="127">
        <f>Depreciation!O21</f>
        <v>6693.8699436026827</v>
      </c>
      <c r="O33" s="127">
        <f>Depreciation!P21</f>
        <v>6693.8699436026827</v>
      </c>
      <c r="P33" s="127">
        <f>Depreciation!Q21</f>
        <v>6693.8699436026827</v>
      </c>
      <c r="Q33" s="127">
        <f>Depreciation!R21</f>
        <v>6693.8699436026827</v>
      </c>
      <c r="R33" s="127">
        <f>Depreciation!S21</f>
        <v>6693.8699436026827</v>
      </c>
      <c r="S33" s="127">
        <f>Depreciation!T21</f>
        <v>6693.8699436026827</v>
      </c>
      <c r="T33" s="127">
        <f>Depreciation!U21</f>
        <v>6693.8699436026827</v>
      </c>
      <c r="U33" s="127">
        <f>Depreciation!V21</f>
        <v>6693.8699436026827</v>
      </c>
      <c r="W33" s="91">
        <f>SUM(B33:U33)</f>
        <v>133877.39887205363</v>
      </c>
    </row>
    <row r="34" spans="1:23">
      <c r="A34" s="3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8">B31-B33</f>
        <v>20903.538210259085</v>
      </c>
      <c r="C35" s="132">
        <f t="shared" si="8"/>
        <v>20854.993312135099</v>
      </c>
      <c r="D35" s="132">
        <f t="shared" si="8"/>
        <v>20804.553420626336</v>
      </c>
      <c r="E35" s="132">
        <f t="shared" si="8"/>
        <v>25869.78985487605</v>
      </c>
      <c r="F35" s="132">
        <f t="shared" si="8"/>
        <v>27627.242105794667</v>
      </c>
      <c r="G35" s="132">
        <f t="shared" si="8"/>
        <v>28069.761848087077</v>
      </c>
      <c r="H35" s="132">
        <f t="shared" si="8"/>
        <v>28517.958492249094</v>
      </c>
      <c r="I35" s="132">
        <f t="shared" si="8"/>
        <v>28967.177625824017</v>
      </c>
      <c r="J35" s="132">
        <f t="shared" si="8"/>
        <v>29430.142995495338</v>
      </c>
      <c r="K35" s="132">
        <f t="shared" si="8"/>
        <v>29481.443874959998</v>
      </c>
      <c r="L35" s="132">
        <f t="shared" si="8"/>
        <v>30358.233207538575</v>
      </c>
      <c r="M35" s="132">
        <f t="shared" si="8"/>
        <v>31265.168481565128</v>
      </c>
      <c r="N35" s="132">
        <f t="shared" si="8"/>
        <v>32110.19091907037</v>
      </c>
      <c r="O35" s="132">
        <f t="shared" si="8"/>
        <v>32837.960897300662</v>
      </c>
      <c r="P35" s="132">
        <f t="shared" si="8"/>
        <v>33577.97165138751</v>
      </c>
      <c r="Q35" s="132">
        <f t="shared" si="8"/>
        <v>34116.612361093314</v>
      </c>
      <c r="R35" s="132">
        <f t="shared" si="8"/>
        <v>34655.111660399234</v>
      </c>
      <c r="S35" s="132">
        <f t="shared" si="8"/>
        <v>35199.271105753534</v>
      </c>
      <c r="T35" s="132">
        <f t="shared" si="8"/>
        <v>35749.113431850921</v>
      </c>
      <c r="U35" s="132">
        <f t="shared" si="8"/>
        <v>36304.660233478979</v>
      </c>
      <c r="W35" s="91">
        <f>SUM(B35:U35)</f>
        <v>596700.89568974508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IS!B38*Allocation!$E$8</f>
        <v>12499.099364782833</v>
      </c>
      <c r="C37" s="127">
        <f>IS!C38*Allocation!$E$8</f>
        <v>12311.554821474587</v>
      </c>
      <c r="D37" s="127">
        <f>IS!D38*Allocation!$E$8</f>
        <v>12047.016900990198</v>
      </c>
      <c r="E37" s="127">
        <f>IS!E38*Allocation!$E$8</f>
        <v>11839.355515782559</v>
      </c>
      <c r="F37" s="127">
        <f>IS!F38*Allocation!$E$8</f>
        <v>11471.958275317575</v>
      </c>
      <c r="G37" s="127">
        <f>IS!G38*Allocation!$E$8</f>
        <v>11036.497481793214</v>
      </c>
      <c r="H37" s="127">
        <f>IS!H38*Allocation!$E$8</f>
        <v>10547.098180399027</v>
      </c>
      <c r="I37" s="127">
        <f>IS!I38*Allocation!$E$8</f>
        <v>10035.096656043352</v>
      </c>
      <c r="J37" s="127">
        <f>IS!J38*Allocation!$E$8</f>
        <v>9399.1108807762794</v>
      </c>
      <c r="K37" s="127">
        <f>IS!K38*Allocation!$E$8</f>
        <v>8694.3912639748396</v>
      </c>
      <c r="L37" s="127">
        <f>IS!L38*Allocation!$E$8</f>
        <v>7952.8652228521869</v>
      </c>
      <c r="M37" s="127">
        <f>IS!M38*Allocation!$E$8</f>
        <v>7144.3551396098246</v>
      </c>
      <c r="N37" s="127">
        <f>IS!N38*Allocation!$E$8</f>
        <v>6295.663592171506</v>
      </c>
      <c r="O37" s="127">
        <f>IS!O38*Allocation!$E$8</f>
        <v>5467.0627768311651</v>
      </c>
      <c r="P37" s="127">
        <f>IS!P38*Allocation!$E$8</f>
        <v>4628.0193210783164</v>
      </c>
      <c r="Q37" s="127">
        <f>IS!Q38*Allocation!$E$8</f>
        <v>3758.4424928149806</v>
      </c>
      <c r="R37" s="127">
        <f>IS!R38*Allocation!$E$8</f>
        <v>2836.0849276840759</v>
      </c>
      <c r="S37" s="127">
        <f>IS!S38*Allocation!$E$8</f>
        <v>1966.3945924597347</v>
      </c>
      <c r="T37" s="127">
        <f>IS!T38*Allocation!$E$8</f>
        <v>1220.653858653428</v>
      </c>
      <c r="U37" s="127">
        <f>IS!U38*Allocation!$E$8</f>
        <v>476.72923622320968</v>
      </c>
      <c r="W37" s="91">
        <f>SUM(B37:U37)</f>
        <v>151627.45050171282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9">B35-B37</f>
        <v>8404.438845476252</v>
      </c>
      <c r="C39" s="132">
        <f t="shared" si="9"/>
        <v>8543.4384906605119</v>
      </c>
      <c r="D39" s="132">
        <f t="shared" si="9"/>
        <v>8757.5365196361381</v>
      </c>
      <c r="E39" s="132">
        <f t="shared" si="9"/>
        <v>14030.43433909349</v>
      </c>
      <c r="F39" s="132">
        <f t="shared" si="9"/>
        <v>16155.283830477092</v>
      </c>
      <c r="G39" s="132">
        <f t="shared" si="9"/>
        <v>17033.264366293864</v>
      </c>
      <c r="H39" s="132">
        <f t="shared" si="9"/>
        <v>17970.860311850069</v>
      </c>
      <c r="I39" s="132">
        <f t="shared" si="9"/>
        <v>18932.080969780665</v>
      </c>
      <c r="J39" s="132">
        <f t="shared" si="9"/>
        <v>20031.032114719059</v>
      </c>
      <c r="K39" s="132">
        <f t="shared" si="9"/>
        <v>20787.052610985156</v>
      </c>
      <c r="L39" s="132">
        <f t="shared" si="9"/>
        <v>22405.367984686389</v>
      </c>
      <c r="M39" s="132">
        <f t="shared" si="9"/>
        <v>24120.813341955305</v>
      </c>
      <c r="N39" s="132">
        <f t="shared" si="9"/>
        <v>25814.527326898864</v>
      </c>
      <c r="O39" s="132">
        <f t="shared" si="9"/>
        <v>27370.898120469497</v>
      </c>
      <c r="P39" s="132">
        <f t="shared" si="9"/>
        <v>28949.952330309192</v>
      </c>
      <c r="Q39" s="132">
        <f t="shared" si="9"/>
        <v>30358.169868278332</v>
      </c>
      <c r="R39" s="132">
        <f t="shared" si="9"/>
        <v>31819.02673271516</v>
      </c>
      <c r="S39" s="132">
        <f t="shared" si="9"/>
        <v>33232.876513293799</v>
      </c>
      <c r="T39" s="132">
        <f t="shared" si="9"/>
        <v>34528.459573197491</v>
      </c>
      <c r="U39" s="132">
        <f t="shared" si="9"/>
        <v>35827.930997255768</v>
      </c>
      <c r="W39" s="91">
        <f>SUM(B39:U39)</f>
        <v>445073.445188032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B39*-Assumptions!$D$38</f>
        <v>-420.2219422738126</v>
      </c>
      <c r="C41" s="127">
        <f>C39*-Assumptions!$D$38</f>
        <v>-427.17192453302562</v>
      </c>
      <c r="D41" s="127">
        <f>D39*-Assumptions!$D$38</f>
        <v>-437.87682598180692</v>
      </c>
      <c r="E41" s="127">
        <f>E39*-Assumptions!$D$38</f>
        <v>-701.5217169546745</v>
      </c>
      <c r="F41" s="127">
        <f>F39*-Assumptions!$D$38</f>
        <v>-807.76419152385461</v>
      </c>
      <c r="G41" s="127">
        <f>G39*-Assumptions!$D$38</f>
        <v>-851.66321831469327</v>
      </c>
      <c r="H41" s="127">
        <f>H39*-Assumptions!$D$38</f>
        <v>-898.54301559250348</v>
      </c>
      <c r="I41" s="127">
        <f>I39*-Assumptions!$D$38</f>
        <v>-946.60404848903329</v>
      </c>
      <c r="J41" s="127">
        <f>J39*-Assumptions!$D$38</f>
        <v>-1001.551605735953</v>
      </c>
      <c r="K41" s="127">
        <f>K39*-Assumptions!$D$38</f>
        <v>-1039.3526305492578</v>
      </c>
      <c r="L41" s="127">
        <f>L39*-Assumptions!$D$38</f>
        <v>-1120.2683992343195</v>
      </c>
      <c r="M41" s="127">
        <f>M39*-Assumptions!$D$38</f>
        <v>-1206.0406670977652</v>
      </c>
      <c r="N41" s="127">
        <f>N39*-Assumptions!$D$38</f>
        <v>-1290.7263663449432</v>
      </c>
      <c r="O41" s="127">
        <f>O39*-Assumptions!$D$38</f>
        <v>-1368.5449060234751</v>
      </c>
      <c r="P41" s="127">
        <f>P39*-Assumptions!$D$38</f>
        <v>-1447.4976165154596</v>
      </c>
      <c r="Q41" s="127">
        <f>Q39*-Assumptions!$D$38</f>
        <v>-1517.9084934139166</v>
      </c>
      <c r="R41" s="127">
        <f>R39*-Assumptions!$D$38</f>
        <v>-1590.951336635758</v>
      </c>
      <c r="S41" s="127">
        <f>S39*-Assumptions!$D$38</f>
        <v>-1661.64382566469</v>
      </c>
      <c r="T41" s="127">
        <f>T39*-Assumptions!$D$38</f>
        <v>-1726.4229786598746</v>
      </c>
      <c r="U41" s="127">
        <f>U39*-Assumptions!$D$38</f>
        <v>-1791.3965498627886</v>
      </c>
      <c r="W41" s="91">
        <f>SUM(B41:U41)</f>
        <v>-22253.672259401603</v>
      </c>
    </row>
    <row r="42" spans="1:23">
      <c r="A42" s="3" t="s">
        <v>69</v>
      </c>
      <c r="B42" s="121">
        <f>(B39+B41)*-Assumptions!$D$37</f>
        <v>-2794.4759161208535</v>
      </c>
      <c r="C42" s="121">
        <f>(C39+C41)*-Assumptions!$D$37</f>
        <v>-2840.6932981446198</v>
      </c>
      <c r="D42" s="121">
        <f>(D39+D41)*-Assumptions!$D$37</f>
        <v>-2911.880892779016</v>
      </c>
      <c r="E42" s="121">
        <f>(E39+E41)*-Assumptions!$D$37</f>
        <v>-4665.119417748585</v>
      </c>
      <c r="F42" s="121">
        <f>(F39+F41)*-Assumptions!$D$37</f>
        <v>-5371.6318736336325</v>
      </c>
      <c r="G42" s="121">
        <f>(G39+G41)*-Assumptions!$D$37</f>
        <v>-5663.5604017927089</v>
      </c>
      <c r="H42" s="121">
        <f>(H39+H41)*-Assumptions!$D$37</f>
        <v>-5975.3110536901477</v>
      </c>
      <c r="I42" s="121">
        <f>(I39+I41)*-Assumptions!$D$37</f>
        <v>-6294.916922452071</v>
      </c>
      <c r="J42" s="121">
        <f>(J39+J41)*-Assumptions!$D$37</f>
        <v>-6660.3181781440871</v>
      </c>
      <c r="K42" s="121">
        <f>(K39+K41)*-Assumptions!$D$37</f>
        <v>-6911.6949931525651</v>
      </c>
      <c r="L42" s="121">
        <f>(L39+L41)*-Assumptions!$D$37</f>
        <v>-7449.7848549082237</v>
      </c>
      <c r="M42" s="121">
        <f>(M39+M41)*-Assumptions!$D$37</f>
        <v>-8020.1704362001383</v>
      </c>
      <c r="N42" s="121">
        <f>(N39+N41)*-Assumptions!$D$37</f>
        <v>-8583.3303361938706</v>
      </c>
      <c r="O42" s="121">
        <f>(O39+O41)*-Assumptions!$D$37</f>
        <v>-9100.8236250561076</v>
      </c>
      <c r="P42" s="121">
        <f>(P39+P41)*-Assumptions!$D$37</f>
        <v>-9625.8591498278056</v>
      </c>
      <c r="Q42" s="121">
        <f>(Q39+Q41)*-Assumptions!$D$37</f>
        <v>-10094.091481202544</v>
      </c>
      <c r="R42" s="121">
        <f>(R39+R41)*-Assumptions!$D$37</f>
        <v>-10579.826388627791</v>
      </c>
      <c r="S42" s="121">
        <f>(S39+S41)*-Assumptions!$D$37</f>
        <v>-11049.931440670187</v>
      </c>
      <c r="T42" s="121">
        <f>(T39+T41)*-Assumptions!$D$37</f>
        <v>-11480.712808088165</v>
      </c>
      <c r="U42" s="121">
        <f>(U39+U41)*-Assumptions!$D$37</f>
        <v>-11912.787056587542</v>
      </c>
      <c r="W42" s="91">
        <f>SUM(B42:U42)</f>
        <v>-147986.92052502066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0">SUM(B39:B42)</f>
        <v>5189.7409870815864</v>
      </c>
      <c r="C44" s="134">
        <f t="shared" si="10"/>
        <v>5275.5732679828661</v>
      </c>
      <c r="D44" s="134">
        <f t="shared" si="10"/>
        <v>5407.7788008753159</v>
      </c>
      <c r="E44" s="134">
        <f t="shared" si="10"/>
        <v>8663.793204390231</v>
      </c>
      <c r="F44" s="134">
        <f t="shared" si="10"/>
        <v>9975.887765319605</v>
      </c>
      <c r="G44" s="134">
        <f t="shared" si="10"/>
        <v>10518.040746186462</v>
      </c>
      <c r="H44" s="134">
        <f t="shared" si="10"/>
        <v>11097.006242567419</v>
      </c>
      <c r="I44" s="134">
        <f t="shared" si="10"/>
        <v>11690.559998839562</v>
      </c>
      <c r="J44" s="134">
        <f t="shared" si="10"/>
        <v>12369.162330839019</v>
      </c>
      <c r="K44" s="134">
        <f t="shared" si="10"/>
        <v>12836.004987283335</v>
      </c>
      <c r="L44" s="134">
        <f t="shared" si="10"/>
        <v>13835.314730543847</v>
      </c>
      <c r="M44" s="134">
        <f t="shared" si="10"/>
        <v>14894.602238657402</v>
      </c>
      <c r="N44" s="134">
        <f t="shared" si="10"/>
        <v>15940.470624360049</v>
      </c>
      <c r="O44" s="134">
        <f t="shared" si="10"/>
        <v>16901.529589389917</v>
      </c>
      <c r="P44" s="134">
        <f t="shared" si="10"/>
        <v>17876.59556396593</v>
      </c>
      <c r="Q44" s="134">
        <f t="shared" si="10"/>
        <v>18746.16989366187</v>
      </c>
      <c r="R44" s="134">
        <f t="shared" si="10"/>
        <v>19648.24900745161</v>
      </c>
      <c r="S44" s="134">
        <f t="shared" si="10"/>
        <v>20521.301246958923</v>
      </c>
      <c r="T44" s="134">
        <f t="shared" si="10"/>
        <v>21321.323786449451</v>
      </c>
      <c r="U44" s="134">
        <f t="shared" si="10"/>
        <v>22123.747390805438</v>
      </c>
      <c r="W44" s="91">
        <f>SUM(B44:U44)</f>
        <v>274832.85240360984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9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171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1">B52+1</f>
        <v>2002</v>
      </c>
      <c r="D52" s="8">
        <f t="shared" si="11"/>
        <v>2003</v>
      </c>
      <c r="E52" s="8">
        <f t="shared" si="11"/>
        <v>2004</v>
      </c>
      <c r="F52" s="8">
        <f t="shared" si="11"/>
        <v>2005</v>
      </c>
      <c r="G52" s="8">
        <f t="shared" si="11"/>
        <v>2006</v>
      </c>
      <c r="H52" s="8">
        <f t="shared" si="11"/>
        <v>2007</v>
      </c>
      <c r="I52" s="8">
        <f t="shared" si="11"/>
        <v>2008</v>
      </c>
      <c r="J52" s="8">
        <f t="shared" si="11"/>
        <v>2009</v>
      </c>
      <c r="K52" s="8">
        <f t="shared" si="11"/>
        <v>2010</v>
      </c>
      <c r="L52" s="8">
        <f t="shared" si="11"/>
        <v>2011</v>
      </c>
      <c r="M52" s="8">
        <f t="shared" si="11"/>
        <v>2012</v>
      </c>
      <c r="N52" s="8">
        <f t="shared" si="11"/>
        <v>2013</v>
      </c>
      <c r="O52" s="8">
        <f t="shared" si="11"/>
        <v>2014</v>
      </c>
      <c r="P52" s="8">
        <f t="shared" si="11"/>
        <v>2015</v>
      </c>
      <c r="Q52" s="8">
        <f t="shared" si="11"/>
        <v>2016</v>
      </c>
      <c r="R52" s="8">
        <f t="shared" si="11"/>
        <v>2017</v>
      </c>
      <c r="S52" s="8">
        <f t="shared" si="11"/>
        <v>2018</v>
      </c>
      <c r="T52" s="8">
        <f t="shared" si="11"/>
        <v>2019</v>
      </c>
      <c r="U52" s="8">
        <f t="shared" si="11"/>
        <v>2020</v>
      </c>
      <c r="W52" s="399" t="s">
        <v>160</v>
      </c>
    </row>
    <row r="53" spans="1:55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</row>
    <row r="54" spans="1:55" outlineLevel="1">
      <c r="A54" s="13" t="s">
        <v>270</v>
      </c>
      <c r="B54" s="67">
        <f>B31-B12</f>
        <v>19338.669274016342</v>
      </c>
      <c r="C54" s="67">
        <f>C31-C12</f>
        <v>19290.124375892352</v>
      </c>
      <c r="D54" s="67">
        <f>D31-D12</f>
        <v>19239.684484383593</v>
      </c>
      <c r="E54" s="67">
        <f t="shared" ref="E54:U54" si="12">E31</f>
        <v>32563.659798478733</v>
      </c>
      <c r="F54" s="67">
        <f t="shared" si="12"/>
        <v>34321.11204939735</v>
      </c>
      <c r="G54" s="67">
        <f t="shared" si="12"/>
        <v>34763.631791689761</v>
      </c>
      <c r="H54" s="67">
        <f t="shared" si="12"/>
        <v>35211.828435851778</v>
      </c>
      <c r="I54" s="67">
        <f t="shared" si="12"/>
        <v>35661.047569426701</v>
      </c>
      <c r="J54" s="67">
        <f t="shared" si="12"/>
        <v>36124.012939098022</v>
      </c>
      <c r="K54" s="67">
        <f t="shared" si="12"/>
        <v>36175.313818562681</v>
      </c>
      <c r="L54" s="67">
        <f t="shared" si="12"/>
        <v>37052.103151141258</v>
      </c>
      <c r="M54" s="67">
        <f t="shared" si="12"/>
        <v>37959.038425167812</v>
      </c>
      <c r="N54" s="67">
        <f t="shared" si="12"/>
        <v>38804.060862673054</v>
      </c>
      <c r="O54" s="67">
        <f t="shared" si="12"/>
        <v>39531.830840903342</v>
      </c>
      <c r="P54" s="67">
        <f t="shared" si="12"/>
        <v>40271.84159499019</v>
      </c>
      <c r="Q54" s="67">
        <f t="shared" si="12"/>
        <v>40810.482304695994</v>
      </c>
      <c r="R54" s="67">
        <f t="shared" si="12"/>
        <v>41348.981604001914</v>
      </c>
      <c r="S54" s="67">
        <f t="shared" si="12"/>
        <v>41893.141049356214</v>
      </c>
      <c r="T54" s="67">
        <f t="shared" si="12"/>
        <v>42442.983375453601</v>
      </c>
      <c r="U54" s="67">
        <f t="shared" si="12"/>
        <v>42998.530177081659</v>
      </c>
      <c r="W54" s="400">
        <f>SUM(B54:U54)</f>
        <v>705802.07792226237</v>
      </c>
    </row>
    <row r="55" spans="1:55">
      <c r="A55" s="13" t="s">
        <v>168</v>
      </c>
      <c r="B55" s="67">
        <f>B26</f>
        <v>579.4</v>
      </c>
      <c r="C55" s="67">
        <f t="shared" ref="C55:T55" si="13">C26</f>
        <v>573.6</v>
      </c>
      <c r="D55" s="67">
        <f t="shared" si="13"/>
        <v>567.9</v>
      </c>
      <c r="E55" s="67">
        <f t="shared" si="13"/>
        <v>562.20000000000005</v>
      </c>
      <c r="F55" s="67">
        <f t="shared" si="13"/>
        <v>556.6</v>
      </c>
      <c r="G55" s="67">
        <f t="shared" si="13"/>
        <v>551</v>
      </c>
      <c r="H55" s="67">
        <f t="shared" si="13"/>
        <v>534.5</v>
      </c>
      <c r="I55" s="67">
        <f t="shared" si="13"/>
        <v>518.5</v>
      </c>
      <c r="J55" s="67">
        <f t="shared" si="13"/>
        <v>492.6</v>
      </c>
      <c r="K55" s="67">
        <f t="shared" si="13"/>
        <v>877.7</v>
      </c>
      <c r="L55" s="67">
        <f t="shared" si="13"/>
        <v>694.8</v>
      </c>
      <c r="M55" s="67">
        <f t="shared" si="13"/>
        <v>493.7</v>
      </c>
      <c r="N55" s="67">
        <f t="shared" si="13"/>
        <v>365.7</v>
      </c>
      <c r="O55" s="67">
        <f t="shared" si="13"/>
        <v>365.7</v>
      </c>
      <c r="P55" s="67">
        <f t="shared" si="13"/>
        <v>365.7</v>
      </c>
      <c r="Q55" s="67">
        <f t="shared" si="13"/>
        <v>365.7</v>
      </c>
      <c r="R55" s="67">
        <f t="shared" si="13"/>
        <v>365.7</v>
      </c>
      <c r="S55" s="67">
        <f t="shared" si="13"/>
        <v>365.7</v>
      </c>
      <c r="T55" s="67">
        <f t="shared" si="13"/>
        <v>365.7</v>
      </c>
      <c r="U55" s="67">
        <f>T55</f>
        <v>365.7</v>
      </c>
      <c r="W55" s="400">
        <f>SUM(B55:U55)</f>
        <v>9928.100000000004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-591.20000000000005</v>
      </c>
      <c r="C56" s="67">
        <f>-B55</f>
        <v>-579.4</v>
      </c>
      <c r="D56" s="67">
        <f t="shared" ref="D56:U56" si="14">-C55</f>
        <v>-573.6</v>
      </c>
      <c r="E56" s="67">
        <f t="shared" si="14"/>
        <v>-567.9</v>
      </c>
      <c r="F56" s="67">
        <f t="shared" si="14"/>
        <v>-562.20000000000005</v>
      </c>
      <c r="G56" s="67">
        <f t="shared" si="14"/>
        <v>-556.6</v>
      </c>
      <c r="H56" s="67">
        <f t="shared" si="14"/>
        <v>-551</v>
      </c>
      <c r="I56" s="67">
        <f t="shared" si="14"/>
        <v>-534.5</v>
      </c>
      <c r="J56" s="67">
        <f t="shared" si="14"/>
        <v>-518.5</v>
      </c>
      <c r="K56" s="67">
        <f t="shared" si="14"/>
        <v>-492.6</v>
      </c>
      <c r="L56" s="67">
        <f t="shared" si="14"/>
        <v>-877.7</v>
      </c>
      <c r="M56" s="67">
        <f t="shared" si="14"/>
        <v>-694.8</v>
      </c>
      <c r="N56" s="67">
        <f t="shared" si="14"/>
        <v>-493.7</v>
      </c>
      <c r="O56" s="67">
        <f t="shared" si="14"/>
        <v>-365.7</v>
      </c>
      <c r="P56" s="67">
        <f t="shared" si="14"/>
        <v>-365.7</v>
      </c>
      <c r="Q56" s="67">
        <f t="shared" si="14"/>
        <v>-365.7</v>
      </c>
      <c r="R56" s="67">
        <f t="shared" si="14"/>
        <v>-365.7</v>
      </c>
      <c r="S56" s="67">
        <f t="shared" si="14"/>
        <v>-365.7</v>
      </c>
      <c r="T56" s="67">
        <f t="shared" si="14"/>
        <v>-365.7</v>
      </c>
      <c r="U56" s="67">
        <f t="shared" si="14"/>
        <v>-365.7</v>
      </c>
      <c r="W56" s="400">
        <f>SUM(B56:U56)</f>
        <v>-10153.600000000004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-Debt!B77*Allocation!$E$8</f>
        <v>-14914.909407499601</v>
      </c>
      <c r="C57" s="398">
        <f>-Debt!C77*Allocation!$E$8</f>
        <v>-14902.705915678864</v>
      </c>
      <c r="D57" s="398">
        <f>-Debt!D77*Allocation!$E$8</f>
        <v>-14832.99138573615</v>
      </c>
      <c r="E57" s="398">
        <f>-Debt!E77*Allocation!$E$8</f>
        <v>-14621.433532717676</v>
      </c>
      <c r="F57" s="398">
        <f>-Debt!F77*Allocation!$E$8</f>
        <v>-15301.406839804737</v>
      </c>
      <c r="G57" s="398">
        <f>-Debt!G77*Allocation!$E$8</f>
        <v>-15389.631320056398</v>
      </c>
      <c r="H57" s="398">
        <f>-Debt!H77*Allocation!$E$8</f>
        <v>-15292.995973994228</v>
      </c>
      <c r="I57" s="398">
        <f>-Debt!I77*Allocation!$E$8</f>
        <v>-15435.601041858577</v>
      </c>
      <c r="J57" s="398">
        <f>-Debt!J77*Allocation!$E$8</f>
        <v>-15323.300540367529</v>
      </c>
      <c r="K57" s="398">
        <f>-Debt!K77*Allocation!$E$8</f>
        <v>-15499.961942376625</v>
      </c>
      <c r="L57" s="398">
        <f>-Debt!L77*Allocation!$E$8</f>
        <v>-15356.154063435832</v>
      </c>
      <c r="M57" s="398">
        <f>-Debt!M77*Allocation!$E$8</f>
        <v>-14547.64398019347</v>
      </c>
      <c r="N57" s="398">
        <f>-Debt!N77*Allocation!$E$8</f>
        <v>-13698.952432755152</v>
      </c>
      <c r="O57" s="398">
        <f>-Debt!O77*Allocation!$E$8</f>
        <v>-12870.35161741481</v>
      </c>
      <c r="P57" s="398">
        <f>-Debt!P77*Allocation!$E$8</f>
        <v>-12401.472603691143</v>
      </c>
      <c r="Q57" s="398">
        <f>-Debt!Q77*Allocation!$E$8</f>
        <v>-11902.06021745699</v>
      </c>
      <c r="R57" s="398">
        <f>-Debt!R77*Allocation!$E$8</f>
        <v>-10979.702652326087</v>
      </c>
      <c r="S57" s="398">
        <f>-Debt!S77*Allocation!$E$8</f>
        <v>-8629.3545489850148</v>
      </c>
      <c r="T57" s="398">
        <f>-Debt!T77*Allocation!$E$8</f>
        <v>-7883.613815178709</v>
      </c>
      <c r="U57" s="398">
        <f>-Debt!U77*Allocation!$E$8</f>
        <v>-6399.360308690133</v>
      </c>
      <c r="W57" s="400">
        <f>SUM(B57:U57)</f>
        <v>-266183.60414021771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s="57" customFormat="1" outlineLevel="1">
      <c r="A59" s="12" t="s">
        <v>72</v>
      </c>
      <c r="B59" s="136">
        <f t="shared" ref="B59:U59" si="15">SUM(B54:B57)</f>
        <v>4411.9598665167414</v>
      </c>
      <c r="C59" s="136">
        <f t="shared" si="15"/>
        <v>4381.6184602134854</v>
      </c>
      <c r="D59" s="136">
        <f t="shared" si="15"/>
        <v>4400.9930986474465</v>
      </c>
      <c r="E59" s="136">
        <f t="shared" si="15"/>
        <v>17936.526265761058</v>
      </c>
      <c r="F59" s="136">
        <f t="shared" si="15"/>
        <v>19014.105209592613</v>
      </c>
      <c r="G59" s="136">
        <f t="shared" si="15"/>
        <v>19368.400471633366</v>
      </c>
      <c r="H59" s="136">
        <f t="shared" si="15"/>
        <v>19902.33246185755</v>
      </c>
      <c r="I59" s="136">
        <f t="shared" si="15"/>
        <v>20209.446527568121</v>
      </c>
      <c r="J59" s="136">
        <f t="shared" si="15"/>
        <v>20774.812398730493</v>
      </c>
      <c r="K59" s="136">
        <f t="shared" si="15"/>
        <v>21060.451876186053</v>
      </c>
      <c r="L59" s="136">
        <f t="shared" si="15"/>
        <v>21513.049087705433</v>
      </c>
      <c r="M59" s="136">
        <f t="shared" si="15"/>
        <v>23210.294444974337</v>
      </c>
      <c r="N59" s="136">
        <f t="shared" si="15"/>
        <v>24977.108429917902</v>
      </c>
      <c r="O59" s="136">
        <f t="shared" si="15"/>
        <v>26661.479223488532</v>
      </c>
      <c r="P59" s="136">
        <f t="shared" si="15"/>
        <v>27870.368991299045</v>
      </c>
      <c r="Q59" s="136">
        <f t="shared" si="15"/>
        <v>28908.422087239003</v>
      </c>
      <c r="R59" s="136">
        <f t="shared" si="15"/>
        <v>30369.278951675828</v>
      </c>
      <c r="S59" s="136">
        <f t="shared" si="15"/>
        <v>33263.7865003712</v>
      </c>
      <c r="T59" s="136">
        <f t="shared" si="15"/>
        <v>34559.369560274892</v>
      </c>
      <c r="U59" s="136">
        <f t="shared" si="15"/>
        <v>36599.169868391524</v>
      </c>
      <c r="W59" s="400">
        <f>SUM(B59:U59)</f>
        <v>439392.9737820446</v>
      </c>
    </row>
    <row r="60" spans="1:55" outlineLevel="1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5" outlineLevel="1">
      <c r="A61" s="13" t="s">
        <v>99</v>
      </c>
      <c r="B61" s="121">
        <f>-B100</f>
        <v>0</v>
      </c>
      <c r="C61" s="121">
        <f t="shared" ref="C61:U61" si="16">-C100</f>
        <v>0</v>
      </c>
      <c r="D61" s="121">
        <f t="shared" si="16"/>
        <v>0</v>
      </c>
      <c r="E61" s="121">
        <f t="shared" si="16"/>
        <v>0</v>
      </c>
      <c r="F61" s="121">
        <f t="shared" si="16"/>
        <v>0</v>
      </c>
      <c r="G61" s="121">
        <f t="shared" si="16"/>
        <v>-60.734653280313978</v>
      </c>
      <c r="H61" s="121">
        <f t="shared" si="16"/>
        <v>-648.09580740500598</v>
      </c>
      <c r="I61" s="121">
        <f t="shared" si="16"/>
        <v>-695.16507639413294</v>
      </c>
      <c r="J61" s="121">
        <f t="shared" si="16"/>
        <v>-751.10439754845549</v>
      </c>
      <c r="K61" s="121">
        <f t="shared" si="16"/>
        <v>-787.91365845435757</v>
      </c>
      <c r="L61" s="121">
        <f t="shared" si="16"/>
        <v>-869.82119104682215</v>
      </c>
      <c r="M61" s="121">
        <f t="shared" si="16"/>
        <v>-954.60169500286509</v>
      </c>
      <c r="N61" s="121">
        <f t="shared" si="16"/>
        <v>-1040.2791581574456</v>
      </c>
      <c r="O61" s="121">
        <f t="shared" si="16"/>
        <v>-1117.1059339285746</v>
      </c>
      <c r="P61" s="121">
        <f t="shared" si="16"/>
        <v>-1197.0504083279618</v>
      </c>
      <c r="Q61" s="121">
        <f t="shared" si="16"/>
        <v>-1560.0316379102348</v>
      </c>
      <c r="R61" s="121">
        <f t="shared" si="16"/>
        <v>-1925.6448338158921</v>
      </c>
      <c r="S61" s="121">
        <f t="shared" si="16"/>
        <v>-1996.337322844824</v>
      </c>
      <c r="T61" s="121">
        <f t="shared" si="16"/>
        <v>-2061.1164758400087</v>
      </c>
      <c r="U61" s="121">
        <f t="shared" si="16"/>
        <v>-2126.0900470429224</v>
      </c>
      <c r="W61" s="400">
        <f>SUM(B61:U61)</f>
        <v>-17791.092296999814</v>
      </c>
    </row>
    <row r="62" spans="1:55" outlineLevel="1">
      <c r="A62" s="13" t="s">
        <v>100</v>
      </c>
      <c r="B62" s="128">
        <f>-Allocation!$E$8*Tax!B24</f>
        <v>0</v>
      </c>
      <c r="C62" s="128">
        <f>-Allocation!$E$8*Tax!C24</f>
        <v>0</v>
      </c>
      <c r="D62" s="128">
        <f>-Allocation!$E$8*Tax!D24</f>
        <v>0</v>
      </c>
      <c r="E62" s="128">
        <f>-Allocation!$E$8*Tax!E24</f>
        <v>0</v>
      </c>
      <c r="F62" s="128">
        <f>-Allocation!$E$8*Tax!F24</f>
        <v>0</v>
      </c>
      <c r="G62" s="128">
        <f>-Allocation!$E$8*Tax!G24</f>
        <v>0</v>
      </c>
      <c r="H62" s="128">
        <f>-Allocation!$E$8*Tax!H24</f>
        <v>-3286.343367959515</v>
      </c>
      <c r="I62" s="128">
        <f>-Allocation!$E$8*Tax!I24</f>
        <v>-4508.234407099606</v>
      </c>
      <c r="J62" s="128">
        <f>-Allocation!$E$8*Tax!J24</f>
        <v>-4857.2922125907744</v>
      </c>
      <c r="K62" s="128">
        <f>-Allocation!$E$8*Tax!K24</f>
        <v>-5218.9837509249628</v>
      </c>
      <c r="L62" s="128">
        <f>-Allocation!$E$8*Tax!L24</f>
        <v>-5694.9894031418471</v>
      </c>
      <c r="M62" s="128">
        <f>-Allocation!$E$8*Tax!M24</f>
        <v>-6192.83190333937</v>
      </c>
      <c r="N62" s="128">
        <f>-Allocation!$E$8*Tax!N24</f>
        <v>-6695.1772684883108</v>
      </c>
      <c r="O62" s="128">
        <f>-Allocation!$E$8*Tax!O24</f>
        <v>-7185.8184736187113</v>
      </c>
      <c r="P62" s="128">
        <f>-Allocation!$E$8*Tax!P24</f>
        <v>-7671.7159671358995</v>
      </c>
      <c r="Q62" s="128">
        <f>-Allocation!$E$8*Tax!Q24</f>
        <v>-10158.315971526128</v>
      </c>
      <c r="R62" s="128">
        <f>-Allocation!$E$8*Tax!R24</f>
        <v>-12633.723792910507</v>
      </c>
      <c r="S62" s="128">
        <f>-Allocation!$E$8*Tax!S24</f>
        <v>-13104.393215327875</v>
      </c>
      <c r="T62" s="128">
        <f>-Allocation!$E$8*Tax!T24</f>
        <v>-13536.554116730505</v>
      </c>
      <c r="U62" s="128">
        <f>-Allocation!$E$8*Tax!U24</f>
        <v>-13970.749730390256</v>
      </c>
      <c r="W62" s="400">
        <f>SUM(B62:U62)</f>
        <v>-114715.12358118425</v>
      </c>
    </row>
    <row r="63" spans="1:55" outlineLevel="1">
      <c r="A63" s="1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W63" s="401"/>
    </row>
    <row r="64" spans="1:55" s="64" customFormat="1" ht="15.75" outlineLevel="1">
      <c r="A64" s="46" t="s">
        <v>73</v>
      </c>
      <c r="B64" s="137">
        <f t="shared" ref="B64:U64" si="17">B59+B62+B61</f>
        <v>4411.9598665167414</v>
      </c>
      <c r="C64" s="137">
        <f t="shared" si="17"/>
        <v>4381.6184602134854</v>
      </c>
      <c r="D64" s="137">
        <f t="shared" si="17"/>
        <v>4400.9930986474465</v>
      </c>
      <c r="E64" s="137">
        <f t="shared" si="17"/>
        <v>17936.526265761058</v>
      </c>
      <c r="F64" s="137">
        <f t="shared" si="17"/>
        <v>19014.105209592613</v>
      </c>
      <c r="G64" s="137">
        <f t="shared" si="17"/>
        <v>19307.665818353053</v>
      </c>
      <c r="H64" s="137">
        <f t="shared" si="17"/>
        <v>15967.893286493028</v>
      </c>
      <c r="I64" s="137">
        <f t="shared" si="17"/>
        <v>15006.047044074383</v>
      </c>
      <c r="J64" s="137">
        <f t="shared" si="17"/>
        <v>15166.415788591263</v>
      </c>
      <c r="K64" s="137">
        <f t="shared" si="17"/>
        <v>15053.554466806732</v>
      </c>
      <c r="L64" s="137">
        <f t="shared" si="17"/>
        <v>14948.238493516763</v>
      </c>
      <c r="M64" s="137">
        <f t="shared" si="17"/>
        <v>16062.860846632102</v>
      </c>
      <c r="N64" s="137">
        <f t="shared" si="17"/>
        <v>17241.652003272146</v>
      </c>
      <c r="O64" s="137">
        <f t="shared" si="17"/>
        <v>18358.554815941246</v>
      </c>
      <c r="P64" s="137">
        <f t="shared" si="17"/>
        <v>19001.602615835181</v>
      </c>
      <c r="Q64" s="137">
        <f t="shared" si="17"/>
        <v>17190.074477802642</v>
      </c>
      <c r="R64" s="137">
        <f t="shared" si="17"/>
        <v>15809.910324949429</v>
      </c>
      <c r="S64" s="137">
        <f t="shared" si="17"/>
        <v>18163.055962198501</v>
      </c>
      <c r="T64" s="137">
        <f t="shared" si="17"/>
        <v>18961.698967704378</v>
      </c>
      <c r="U64" s="137">
        <f t="shared" si="17"/>
        <v>20502.330090958345</v>
      </c>
      <c r="W64" s="400">
        <f>SUM(B64:U64)</f>
        <v>306886.75790386053</v>
      </c>
    </row>
    <row r="65" spans="1:44" outlineLevel="1">
      <c r="A65" s="68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44" outlineLevel="1">
      <c r="A66" s="68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44" outlineLevel="1">
      <c r="A67" s="6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44" ht="18.75" outlineLevel="1">
      <c r="A68" s="55" t="s">
        <v>186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44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44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44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44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44" outlineLevel="1">
      <c r="A73" s="224"/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44" outlineLevel="1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44" outlineLevel="1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44" outlineLevel="1">
      <c r="A76" s="7" t="s">
        <v>180</v>
      </c>
      <c r="B76" s="439">
        <f>Allocation!$C$8*'Summary Output'!$C$8</f>
        <v>87232.892465151803</v>
      </c>
      <c r="C76" s="439">
        <f>Allocation!$C$8*'Summary Output'!$C$8</f>
        <v>87232.892465151803</v>
      </c>
      <c r="D76" s="439">
        <f>Allocation!$C$8*'Summary Output'!$C$8</f>
        <v>87232.892465151803</v>
      </c>
      <c r="E76" s="439">
        <f>Allocation!$C$8*'Summary Output'!$C$8</f>
        <v>87232.892465151803</v>
      </c>
      <c r="F76" s="439">
        <f>Allocation!$C$8*'Summary Output'!$C$8</f>
        <v>87232.892465151803</v>
      </c>
      <c r="G76" s="439">
        <f>Allocation!$C$8*'Summary Output'!$C$8</f>
        <v>87232.892465151803</v>
      </c>
      <c r="H76" s="439">
        <f>Allocation!$C$8*'Summary Output'!$C$8</f>
        <v>87232.892465151803</v>
      </c>
      <c r="I76" s="439">
        <f>Allocation!$C$8*'Summary Output'!$C$8</f>
        <v>87232.892465151803</v>
      </c>
      <c r="J76" s="439">
        <f>Allocation!$C$8*'Summary Output'!$C$8</f>
        <v>87232.892465151803</v>
      </c>
      <c r="K76" s="439">
        <f>Allocation!$C$8*'Summary Output'!$C$8</f>
        <v>87232.892465151803</v>
      </c>
      <c r="L76" s="439">
        <f>Allocation!$C$8*'Summary Output'!$C$8</f>
        <v>87232.892465151803</v>
      </c>
      <c r="M76" s="439">
        <f>Allocation!$C$8*'Summary Output'!$C$8</f>
        <v>87232.892465151803</v>
      </c>
      <c r="N76" s="439">
        <f>Allocation!$C$8*'Summary Output'!$C$8</f>
        <v>87232.892465151803</v>
      </c>
      <c r="O76" s="439">
        <f>Allocation!$C$8*'Summary Output'!$C$8</f>
        <v>87232.892465151803</v>
      </c>
      <c r="P76" s="439">
        <f>Allocation!$C$8*'Summary Output'!$C$8</f>
        <v>87232.892465151803</v>
      </c>
      <c r="Q76" s="439">
        <f>Allocation!$C$8*'Summary Output'!$C$8</f>
        <v>87232.892465151803</v>
      </c>
      <c r="R76" s="439">
        <f>Allocation!$C$8*'Summary Output'!$C$8</f>
        <v>87232.892465151803</v>
      </c>
      <c r="S76" s="439">
        <f>Allocation!$C$8*'Summary Output'!$C$8</f>
        <v>87232.892465151803</v>
      </c>
      <c r="T76" s="439">
        <f>Allocation!$C$8*'Summary Output'!$C$8</f>
        <v>87232.892465151803</v>
      </c>
      <c r="U76" s="439">
        <f>Allocation!$C$8*'Summary Output'!$C$8</f>
        <v>87232.892465151803</v>
      </c>
    </row>
    <row r="77" spans="1:44" outlineLevel="1">
      <c r="A77" s="443" t="s">
        <v>273</v>
      </c>
      <c r="B77" s="440">
        <f>B44-B64-B12*(Assumptions!$D$38+(1-Assumptions!$D$38)*Assumptions!$D$37)</f>
        <v>-2381.1865009760309</v>
      </c>
      <c r="C77" s="440">
        <f>C44-C64-C12*(Assumptions!$D$38+(1-Assumptions!$D$38)*Assumptions!$D$37)+B77</f>
        <v>-4646.1993147475259</v>
      </c>
      <c r="D77" s="440">
        <f>D44-D64-D12*(Assumptions!$D$38+(1-Assumptions!$D$38)*Assumptions!$D$37)+C77</f>
        <v>-6798.3812340605327</v>
      </c>
      <c r="E77" s="440">
        <f t="shared" ref="E77:U77" si="18">E44-E64+D77</f>
        <v>-16071.11429543136</v>
      </c>
      <c r="F77" s="440">
        <f t="shared" si="18"/>
        <v>-25109.331739704368</v>
      </c>
      <c r="G77" s="440">
        <f t="shared" si="18"/>
        <v>-33898.956811870958</v>
      </c>
      <c r="H77" s="440">
        <f t="shared" si="18"/>
        <v>-38769.843855796571</v>
      </c>
      <c r="I77" s="440">
        <f t="shared" si="18"/>
        <v>-42085.33090103139</v>
      </c>
      <c r="J77" s="440">
        <f t="shared" si="18"/>
        <v>-44882.584358783635</v>
      </c>
      <c r="K77" s="440">
        <f t="shared" si="18"/>
        <v>-47100.133838307032</v>
      </c>
      <c r="L77" s="440">
        <f t="shared" si="18"/>
        <v>-48213.05760127995</v>
      </c>
      <c r="M77" s="440">
        <f t="shared" si="18"/>
        <v>-49381.316209254648</v>
      </c>
      <c r="N77" s="440">
        <f t="shared" si="18"/>
        <v>-50682.497588166749</v>
      </c>
      <c r="O77" s="440">
        <f t="shared" si="18"/>
        <v>-52139.522814718075</v>
      </c>
      <c r="P77" s="440">
        <f t="shared" si="18"/>
        <v>-53264.529866587327</v>
      </c>
      <c r="Q77" s="440">
        <f t="shared" si="18"/>
        <v>-51708.434450728098</v>
      </c>
      <c r="R77" s="440">
        <f t="shared" si="18"/>
        <v>-47870.095768225918</v>
      </c>
      <c r="S77" s="440">
        <f t="shared" si="18"/>
        <v>-45511.850483465496</v>
      </c>
      <c r="T77" s="440">
        <f t="shared" si="18"/>
        <v>-43152.225664720419</v>
      </c>
      <c r="U77" s="440">
        <f t="shared" si="18"/>
        <v>-41530.80836487333</v>
      </c>
      <c r="Y77" s="440"/>
      <c r="Z77" s="440"/>
      <c r="AA77" s="440"/>
      <c r="AB77" s="440"/>
      <c r="AC77" s="440"/>
      <c r="AD77" s="440"/>
      <c r="AE77" s="440"/>
      <c r="AF77" s="440"/>
      <c r="AG77" s="440"/>
      <c r="AH77" s="440"/>
      <c r="AI77" s="440"/>
      <c r="AJ77" s="440"/>
      <c r="AK77" s="440"/>
      <c r="AL77" s="440"/>
      <c r="AM77" s="440"/>
      <c r="AN77" s="440"/>
      <c r="AO77" s="440"/>
      <c r="AP77" s="440"/>
      <c r="AQ77" s="440"/>
      <c r="AR77" s="440"/>
    </row>
    <row r="78" spans="1:44" outlineLevel="1">
      <c r="A78" s="443" t="s">
        <v>187</v>
      </c>
      <c r="B78" s="441">
        <f>Debt!B73*Allocation!$E$8</f>
        <v>112140.34359578806</v>
      </c>
      <c r="C78" s="441">
        <f>Debt!C73*Allocation!$E$8</f>
        <v>109549.19250158378</v>
      </c>
      <c r="D78" s="441">
        <f>Debt!D73*Allocation!$E$8</f>
        <v>106763.21801683784</v>
      </c>
      <c r="E78" s="441">
        <f>Debt!E73*Allocation!$E$8</f>
        <v>103981.13999990272</v>
      </c>
      <c r="F78" s="441">
        <f>Debt!F73*Allocation!$E$8</f>
        <v>100151.69143541556</v>
      </c>
      <c r="G78" s="441">
        <f>Debt!G73*Allocation!$E$8</f>
        <v>95798.557597152365</v>
      </c>
      <c r="H78" s="441">
        <f>Debt!H73*Allocation!$E$8</f>
        <v>91052.659803557166</v>
      </c>
      <c r="I78" s="441">
        <f>Debt!I73*Allocation!$E$8</f>
        <v>85652.155417741946</v>
      </c>
      <c r="J78" s="441">
        <f>Debt!J73*Allocation!$E$8</f>
        <v>79727.965758150691</v>
      </c>
      <c r="K78" s="441">
        <f>Debt!K73*Allocation!$E$8</f>
        <v>72922.395079748909</v>
      </c>
      <c r="L78" s="441">
        <f>Debt!L73*Allocation!$E$8</f>
        <v>65519.106239165259</v>
      </c>
      <c r="M78" s="441">
        <f>Debt!M73*Allocation!$E$8</f>
        <v>58115.817398581617</v>
      </c>
      <c r="N78" s="441">
        <f>Debt!N73*Allocation!$E$8</f>
        <v>50712.528557997968</v>
      </c>
      <c r="O78" s="441">
        <f>Debt!O73*Allocation!$E$8</f>
        <v>43309.239717414326</v>
      </c>
      <c r="P78" s="441">
        <f>Debt!P73*Allocation!$E$8</f>
        <v>35535.786434801499</v>
      </c>
      <c r="Q78" s="441">
        <f>Debt!Q73*Allocation!$E$8</f>
        <v>27392.168710159487</v>
      </c>
      <c r="R78" s="441">
        <f>Debt!R73*Allocation!$E$8</f>
        <v>19248.550985517479</v>
      </c>
      <c r="S78" s="441">
        <f>Debt!S73*Allocation!$E$8</f>
        <v>12585.591028992198</v>
      </c>
      <c r="T78" s="441">
        <f>Debt!T73*Allocation!$E$8</f>
        <v>5922.6310724669165</v>
      </c>
      <c r="U78" s="441">
        <f>Debt!U73*Allocation!$E$8</f>
        <v>-6.2371176200640148E-12</v>
      </c>
    </row>
    <row r="79" spans="1:44" outlineLevel="1">
      <c r="A79" s="224" t="s">
        <v>188</v>
      </c>
      <c r="B79" s="442">
        <f>SUM(B76:B78)</f>
        <v>196992.04955996381</v>
      </c>
      <c r="C79" s="442">
        <f t="shared" ref="C79:U79" si="19">SUM(C76:C78)</f>
        <v>192135.88565198804</v>
      </c>
      <c r="D79" s="442">
        <f t="shared" si="19"/>
        <v>187197.72924792912</v>
      </c>
      <c r="E79" s="442">
        <f t="shared" si="19"/>
        <v>175142.91816962318</v>
      </c>
      <c r="F79" s="442">
        <f t="shared" si="19"/>
        <v>162275.25216086299</v>
      </c>
      <c r="G79" s="442">
        <f t="shared" si="19"/>
        <v>149132.49325043321</v>
      </c>
      <c r="H79" s="442">
        <f t="shared" si="19"/>
        <v>139515.70841291238</v>
      </c>
      <c r="I79" s="442">
        <f t="shared" si="19"/>
        <v>130799.71698186235</v>
      </c>
      <c r="J79" s="442">
        <f t="shared" si="19"/>
        <v>122078.27386451885</v>
      </c>
      <c r="K79" s="442">
        <f t="shared" si="19"/>
        <v>113055.15370659367</v>
      </c>
      <c r="L79" s="442">
        <f t="shared" si="19"/>
        <v>104538.94110303711</v>
      </c>
      <c r="M79" s="442">
        <f t="shared" si="19"/>
        <v>95967.393654478772</v>
      </c>
      <c r="N79" s="442">
        <f t="shared" si="19"/>
        <v>87262.923434983022</v>
      </c>
      <c r="O79" s="442">
        <f t="shared" si="19"/>
        <v>78402.609367848054</v>
      </c>
      <c r="P79" s="442">
        <f t="shared" si="19"/>
        <v>69504.149033365975</v>
      </c>
      <c r="Q79" s="442">
        <f t="shared" si="19"/>
        <v>62916.626724583191</v>
      </c>
      <c r="R79" s="442">
        <f t="shared" si="19"/>
        <v>58611.34768244336</v>
      </c>
      <c r="S79" s="442">
        <f t="shared" si="19"/>
        <v>54306.633010678503</v>
      </c>
      <c r="T79" s="442">
        <f t="shared" si="19"/>
        <v>50003.2978728983</v>
      </c>
      <c r="U79" s="442">
        <f t="shared" si="19"/>
        <v>45702.084100278465</v>
      </c>
    </row>
    <row r="80" spans="1:44" outlineLevel="1">
      <c r="A80" s="443" t="s">
        <v>183</v>
      </c>
      <c r="B80" s="445">
        <f>Assumptions!$D$41</f>
        <v>2.5000000000000001E-3</v>
      </c>
      <c r="C80" s="445">
        <f>Assumptions!$D$42</f>
        <v>2.5000000000000001E-3</v>
      </c>
      <c r="D80" s="445">
        <f>Assumptions!$D$42</f>
        <v>2.5000000000000001E-3</v>
      </c>
      <c r="E80" s="445">
        <f>Assumptions!$D$42</f>
        <v>2.5000000000000001E-3</v>
      </c>
      <c r="F80" s="445">
        <f>Assumptions!$D$42</f>
        <v>2.5000000000000001E-3</v>
      </c>
      <c r="G80" s="445">
        <f>Assumptions!$D$42</f>
        <v>2.5000000000000001E-3</v>
      </c>
      <c r="H80" s="445">
        <f>Assumptions!$D$42</f>
        <v>2.5000000000000001E-3</v>
      </c>
      <c r="I80" s="445">
        <f>Assumptions!$D$42</f>
        <v>2.5000000000000001E-3</v>
      </c>
      <c r="J80" s="445">
        <f>Assumptions!$D$42</f>
        <v>2.5000000000000001E-3</v>
      </c>
      <c r="K80" s="445">
        <f>Assumptions!$D$42</f>
        <v>2.5000000000000001E-3</v>
      </c>
      <c r="L80" s="445">
        <f>Assumptions!$D$42</f>
        <v>2.5000000000000001E-3</v>
      </c>
      <c r="M80" s="445">
        <f>Assumptions!$D$42</f>
        <v>2.5000000000000001E-3</v>
      </c>
      <c r="N80" s="445">
        <f>Assumptions!$D$42</f>
        <v>2.5000000000000001E-3</v>
      </c>
      <c r="O80" s="445">
        <f>Assumptions!$D$42</f>
        <v>2.5000000000000001E-3</v>
      </c>
      <c r="P80" s="445">
        <f>Assumptions!$D$42</f>
        <v>2.5000000000000001E-3</v>
      </c>
      <c r="Q80" s="445">
        <f>Assumptions!$D$42</f>
        <v>2.5000000000000001E-3</v>
      </c>
      <c r="R80" s="445">
        <f>Assumptions!$D$42</f>
        <v>2.5000000000000001E-3</v>
      </c>
      <c r="S80" s="445">
        <f>Assumptions!$D$42</f>
        <v>2.5000000000000001E-3</v>
      </c>
      <c r="T80" s="445">
        <f>Assumptions!$D$42</f>
        <v>2.5000000000000001E-3</v>
      </c>
      <c r="U80" s="445">
        <f>Assumptions!$D$42</f>
        <v>2.5000000000000001E-3</v>
      </c>
    </row>
    <row r="81" spans="1:44" outlineLevel="1">
      <c r="A81" s="224" t="s">
        <v>184</v>
      </c>
      <c r="B81" s="461">
        <v>492.48012389990953</v>
      </c>
      <c r="C81" s="461">
        <v>480.3397141299701</v>
      </c>
      <c r="D81" s="461">
        <v>467.99432311982281</v>
      </c>
      <c r="E81" s="461">
        <v>437.85729542405795</v>
      </c>
      <c r="F81" s="461">
        <v>405.68813040215747</v>
      </c>
      <c r="G81" s="461">
        <v>372.83123312608302</v>
      </c>
      <c r="H81" s="461">
        <v>348.9261230525002</v>
      </c>
      <c r="I81" s="461">
        <v>327.17307999264557</v>
      </c>
      <c r="J81" s="461">
        <v>305.40750485665325</v>
      </c>
      <c r="K81" s="461">
        <v>282.88888358778951</v>
      </c>
      <c r="L81" s="461">
        <v>261.63871197191889</v>
      </c>
      <c r="M81" s="461">
        <v>240.25141934100481</v>
      </c>
      <c r="N81" s="461">
        <v>218.53307226722612</v>
      </c>
      <c r="O81" s="461">
        <v>196.42640554040241</v>
      </c>
      <c r="P81" s="461">
        <v>174.22570171400204</v>
      </c>
      <c r="Q81" s="461">
        <v>157.80371083015464</v>
      </c>
      <c r="R81" s="461">
        <v>147.08873649315333</v>
      </c>
      <c r="S81" s="461">
        <v>136.37662364518297</v>
      </c>
      <c r="T81" s="461">
        <v>125.66945364345278</v>
      </c>
      <c r="U81" s="461">
        <v>114.96912581217008</v>
      </c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outlineLevel="1">
      <c r="A82" s="443"/>
      <c r="B82" s="444"/>
      <c r="C82" s="444"/>
      <c r="D82" s="444"/>
      <c r="E82" s="444"/>
      <c r="F82" s="444"/>
      <c r="G82" s="444"/>
      <c r="H82" s="444"/>
      <c r="I82" s="444"/>
      <c r="J82" s="444"/>
      <c r="K82" s="444"/>
      <c r="L82" s="444"/>
      <c r="M82" s="444"/>
      <c r="N82" s="444"/>
      <c r="O82" s="444"/>
      <c r="P82" s="444"/>
      <c r="Q82" s="444"/>
      <c r="R82" s="444"/>
      <c r="S82" s="444"/>
      <c r="T82" s="444"/>
      <c r="U82" s="444"/>
    </row>
    <row r="83" spans="1:44" outlineLevel="1">
      <c r="A83" s="224"/>
      <c r="B83" s="247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44" outlineLevel="1">
      <c r="A84" s="225" t="s">
        <v>83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</row>
    <row r="85" spans="1:44">
      <c r="A85" s="225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  <row r="86" spans="1:44" outlineLevel="1">
      <c r="A86" s="21" t="s">
        <v>271</v>
      </c>
      <c r="B86" s="20">
        <f>B39-B12</f>
        <v>145.6999656308235</v>
      </c>
      <c r="C86" s="20">
        <f>C39-C12</f>
        <v>284.69961081508336</v>
      </c>
      <c r="D86" s="20">
        <f>D39-D12</f>
        <v>498.79763979070958</v>
      </c>
      <c r="E86" s="20">
        <f t="shared" ref="E86:U86" si="20">E39</f>
        <v>14030.43433909349</v>
      </c>
      <c r="F86" s="20">
        <f t="shared" si="20"/>
        <v>16155.283830477092</v>
      </c>
      <c r="G86" s="20">
        <f t="shared" si="20"/>
        <v>17033.264366293864</v>
      </c>
      <c r="H86" s="20">
        <f t="shared" si="20"/>
        <v>17970.860311850069</v>
      </c>
      <c r="I86" s="20">
        <f t="shared" si="20"/>
        <v>18932.080969780665</v>
      </c>
      <c r="J86" s="20">
        <f t="shared" si="20"/>
        <v>20031.032114719059</v>
      </c>
      <c r="K86" s="20">
        <f t="shared" si="20"/>
        <v>20787.052610985156</v>
      </c>
      <c r="L86" s="20">
        <f t="shared" si="20"/>
        <v>22405.367984686389</v>
      </c>
      <c r="M86" s="20">
        <f t="shared" si="20"/>
        <v>24120.813341955305</v>
      </c>
      <c r="N86" s="20">
        <f t="shared" si="20"/>
        <v>25814.527326898864</v>
      </c>
      <c r="O86" s="20">
        <f t="shared" si="20"/>
        <v>27370.898120469497</v>
      </c>
      <c r="P86" s="20">
        <f t="shared" si="20"/>
        <v>28949.952330309192</v>
      </c>
      <c r="Q86" s="20">
        <f t="shared" si="20"/>
        <v>30358.169868278332</v>
      </c>
      <c r="R86" s="20">
        <f t="shared" si="20"/>
        <v>31819.02673271516</v>
      </c>
      <c r="S86" s="20">
        <f t="shared" si="20"/>
        <v>33232.876513293799</v>
      </c>
      <c r="T86" s="20">
        <f t="shared" si="20"/>
        <v>34528.459573197491</v>
      </c>
      <c r="U86" s="20">
        <f t="shared" si="20"/>
        <v>35827.930997255768</v>
      </c>
      <c r="W86" s="420">
        <f>SUM(B86:U86)</f>
        <v>420297.2285484958</v>
      </c>
    </row>
    <row r="87" spans="1:44" outlineLevel="1">
      <c r="A87" s="21" t="s">
        <v>132</v>
      </c>
      <c r="B87" s="20">
        <f>B33</f>
        <v>6693.8699436026827</v>
      </c>
      <c r="C87" s="20">
        <f t="shared" ref="C87:U87" si="21">C33</f>
        <v>6693.8699436026827</v>
      </c>
      <c r="D87" s="20">
        <f t="shared" si="21"/>
        <v>6693.8699436026827</v>
      </c>
      <c r="E87" s="20">
        <f t="shared" si="21"/>
        <v>6693.8699436026827</v>
      </c>
      <c r="F87" s="20">
        <f t="shared" si="21"/>
        <v>6693.8699436026827</v>
      </c>
      <c r="G87" s="20">
        <f t="shared" si="21"/>
        <v>6693.8699436026827</v>
      </c>
      <c r="H87" s="20">
        <f t="shared" si="21"/>
        <v>6693.8699436026827</v>
      </c>
      <c r="I87" s="20">
        <f t="shared" si="21"/>
        <v>6693.8699436026827</v>
      </c>
      <c r="J87" s="20">
        <f t="shared" si="21"/>
        <v>6693.8699436026827</v>
      </c>
      <c r="K87" s="20">
        <f t="shared" si="21"/>
        <v>6693.8699436026827</v>
      </c>
      <c r="L87" s="20">
        <f t="shared" si="21"/>
        <v>6693.8699436026827</v>
      </c>
      <c r="M87" s="20">
        <f t="shared" si="21"/>
        <v>6693.8699436026827</v>
      </c>
      <c r="N87" s="20">
        <f t="shared" si="21"/>
        <v>6693.8699436026827</v>
      </c>
      <c r="O87" s="20">
        <f t="shared" si="21"/>
        <v>6693.8699436026827</v>
      </c>
      <c r="P87" s="20">
        <f t="shared" si="21"/>
        <v>6693.8699436026827</v>
      </c>
      <c r="Q87" s="20">
        <f t="shared" si="21"/>
        <v>6693.8699436026827</v>
      </c>
      <c r="R87" s="20">
        <f t="shared" si="21"/>
        <v>6693.8699436026827</v>
      </c>
      <c r="S87" s="20">
        <f t="shared" si="21"/>
        <v>6693.8699436026827</v>
      </c>
      <c r="T87" s="20">
        <f t="shared" si="21"/>
        <v>6693.8699436026827</v>
      </c>
      <c r="U87" s="20">
        <f t="shared" si="21"/>
        <v>6693.8699436026827</v>
      </c>
      <c r="W87" s="420">
        <f>SUM(B87:U87)</f>
        <v>133877.39887205363</v>
      </c>
    </row>
    <row r="88" spans="1:44" ht="15" outlineLevel="1">
      <c r="A88" s="21" t="s">
        <v>200</v>
      </c>
      <c r="B88" s="228">
        <f>-Depreciation!C75</f>
        <v>-9917.6390740276565</v>
      </c>
      <c r="C88" s="228">
        <f>-Depreciation!D75</f>
        <v>-18843.514240652548</v>
      </c>
      <c r="D88" s="228">
        <f>-Depreciation!E75</f>
        <v>-16959.162816587293</v>
      </c>
      <c r="E88" s="228">
        <f>-Depreciation!F75</f>
        <v>-15273.16417400259</v>
      </c>
      <c r="F88" s="228">
        <f>-Depreciation!G75</f>
        <v>-13745.847756602332</v>
      </c>
      <c r="G88" s="228">
        <f>-Depreciation!H75</f>
        <v>-12357.37828623846</v>
      </c>
      <c r="H88" s="228">
        <f>-Depreciation!I75</f>
        <v>-11702.814107352633</v>
      </c>
      <c r="I88" s="228">
        <f>-Depreciation!J75</f>
        <v>-11722.64938550069</v>
      </c>
      <c r="J88" s="228">
        <f>-Depreciation!K75</f>
        <v>-11702.814107352633</v>
      </c>
      <c r="K88" s="228">
        <f>-Depreciation!L75</f>
        <v>-11722.64938550069</v>
      </c>
      <c r="L88" s="228">
        <f>-Depreciation!M75</f>
        <v>-11702.814107352633</v>
      </c>
      <c r="M88" s="228">
        <f>-Depreciation!N75</f>
        <v>-11722.64938550069</v>
      </c>
      <c r="N88" s="228">
        <f>-Depreciation!O75</f>
        <v>-11702.814107352633</v>
      </c>
      <c r="O88" s="228">
        <f>-Depreciation!P75</f>
        <v>-11722.64938550069</v>
      </c>
      <c r="P88" s="228">
        <f>-Depreciation!Q75</f>
        <v>-11702.814107352633</v>
      </c>
      <c r="Q88" s="228">
        <f>-Depreciation!R75</f>
        <v>-5851.4070536763165</v>
      </c>
      <c r="R88" s="228">
        <f>-Depreciation!S75</f>
        <v>0</v>
      </c>
      <c r="S88" s="228">
        <f>-Depreciation!T75</f>
        <v>0</v>
      </c>
      <c r="T88" s="228">
        <f>-Depreciation!U75</f>
        <v>0</v>
      </c>
      <c r="U88" s="228">
        <f>-Depreciation!V75</f>
        <v>0</v>
      </c>
      <c r="W88" s="421">
        <f>SUM(B88:U88)</f>
        <v>-198352.78148055312</v>
      </c>
    </row>
    <row r="89" spans="1:44" outlineLevel="1">
      <c r="A89" s="227" t="s">
        <v>131</v>
      </c>
      <c r="B89" s="22">
        <f t="shared" ref="B89:U89" si="22">SUM(B86:B88)</f>
        <v>-3078.0691647941503</v>
      </c>
      <c r="C89" s="22">
        <f t="shared" si="22"/>
        <v>-11864.944686234783</v>
      </c>
      <c r="D89" s="22">
        <f t="shared" si="22"/>
        <v>-9766.4952331939021</v>
      </c>
      <c r="E89" s="22">
        <f t="shared" si="22"/>
        <v>5451.1401086935821</v>
      </c>
      <c r="F89" s="22">
        <f t="shared" si="22"/>
        <v>9103.3060174774437</v>
      </c>
      <c r="G89" s="22">
        <f t="shared" si="22"/>
        <v>11369.756023658088</v>
      </c>
      <c r="H89" s="22">
        <f t="shared" si="22"/>
        <v>12961.916148100119</v>
      </c>
      <c r="I89" s="22">
        <f t="shared" si="22"/>
        <v>13903.301527882659</v>
      </c>
      <c r="J89" s="22">
        <f t="shared" si="22"/>
        <v>15022.087950969109</v>
      </c>
      <c r="K89" s="22">
        <f t="shared" si="22"/>
        <v>15758.27316908715</v>
      </c>
      <c r="L89" s="22">
        <f t="shared" si="22"/>
        <v>17396.423820936441</v>
      </c>
      <c r="M89" s="22">
        <f t="shared" si="22"/>
        <v>19092.0339000573</v>
      </c>
      <c r="N89" s="22">
        <f t="shared" si="22"/>
        <v>20805.583163148913</v>
      </c>
      <c r="O89" s="22">
        <f t="shared" si="22"/>
        <v>22342.118678571489</v>
      </c>
      <c r="P89" s="22">
        <f t="shared" si="22"/>
        <v>23941.008166559237</v>
      </c>
      <c r="Q89" s="22">
        <f t="shared" si="22"/>
        <v>31200.632758204694</v>
      </c>
      <c r="R89" s="22">
        <f t="shared" si="22"/>
        <v>38512.89667631784</v>
      </c>
      <c r="S89" s="22">
        <f t="shared" si="22"/>
        <v>39926.746456896479</v>
      </c>
      <c r="T89" s="22">
        <f t="shared" si="22"/>
        <v>41222.329516800171</v>
      </c>
      <c r="U89" s="22">
        <f t="shared" si="22"/>
        <v>42521.800940858448</v>
      </c>
      <c r="W89" s="420">
        <f>SUM(B89:U89)</f>
        <v>355821.84593999636</v>
      </c>
    </row>
    <row r="90" spans="1:44" outlineLevel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44" outlineLevel="1">
      <c r="A91" s="21" t="s">
        <v>39</v>
      </c>
      <c r="B91" s="418">
        <f>Assumptions!$D$38</f>
        <v>0.05</v>
      </c>
      <c r="C91" s="418">
        <f>Assumptions!$D$38</f>
        <v>0.05</v>
      </c>
      <c r="D91" s="418">
        <f>Assumptions!$D$38</f>
        <v>0.05</v>
      </c>
      <c r="E91" s="418">
        <f>Assumptions!$D$38</f>
        <v>0.05</v>
      </c>
      <c r="F91" s="418">
        <f>Assumptions!$D$38</f>
        <v>0.05</v>
      </c>
      <c r="G91" s="418">
        <f>Assumptions!$D$38</f>
        <v>0.05</v>
      </c>
      <c r="H91" s="418">
        <f>Assumptions!$D$38</f>
        <v>0.05</v>
      </c>
      <c r="I91" s="418">
        <f>Assumptions!$D$38</f>
        <v>0.05</v>
      </c>
      <c r="J91" s="418">
        <f>Assumptions!$D$38</f>
        <v>0.05</v>
      </c>
      <c r="K91" s="418">
        <f>Assumptions!$D$38</f>
        <v>0.05</v>
      </c>
      <c r="L91" s="418">
        <f>Assumptions!$D$38</f>
        <v>0.05</v>
      </c>
      <c r="M91" s="418">
        <f>Assumptions!$D$38</f>
        <v>0.05</v>
      </c>
      <c r="N91" s="418">
        <f>Assumptions!$D$38</f>
        <v>0.05</v>
      </c>
      <c r="O91" s="418">
        <f>Assumptions!$D$38</f>
        <v>0.05</v>
      </c>
      <c r="P91" s="418">
        <f>Assumptions!$D$38</f>
        <v>0.05</v>
      </c>
      <c r="Q91" s="418">
        <f>Assumptions!$D$38</f>
        <v>0.05</v>
      </c>
      <c r="R91" s="418">
        <f>Assumptions!$D$38</f>
        <v>0.05</v>
      </c>
      <c r="S91" s="418">
        <f>Assumptions!$D$38</f>
        <v>0.05</v>
      </c>
      <c r="T91" s="418">
        <f>Assumptions!$D$38</f>
        <v>0.05</v>
      </c>
      <c r="U91" s="418">
        <f>Assumptions!$D$38</f>
        <v>0.05</v>
      </c>
    </row>
    <row r="92" spans="1:44" outlineLevel="1">
      <c r="A92" s="21" t="s">
        <v>133</v>
      </c>
      <c r="B92" s="20">
        <f>B89*B91</f>
        <v>-153.90345823970753</v>
      </c>
      <c r="C92" s="20">
        <f t="shared" ref="C92:U92" si="23">C89*C91</f>
        <v>-593.24723431173913</v>
      </c>
      <c r="D92" s="20">
        <f t="shared" si="23"/>
        <v>-488.32476165969513</v>
      </c>
      <c r="E92" s="20">
        <f t="shared" si="23"/>
        <v>272.55700543467913</v>
      </c>
      <c r="F92" s="20">
        <f t="shared" si="23"/>
        <v>455.16530087387218</v>
      </c>
      <c r="G92" s="20">
        <f t="shared" si="23"/>
        <v>568.48780118290449</v>
      </c>
      <c r="H92" s="20">
        <f t="shared" si="23"/>
        <v>648.09580740500598</v>
      </c>
      <c r="I92" s="20">
        <f t="shared" si="23"/>
        <v>695.16507639413294</v>
      </c>
      <c r="J92" s="20">
        <f t="shared" si="23"/>
        <v>751.10439754845549</v>
      </c>
      <c r="K92" s="20">
        <f t="shared" si="23"/>
        <v>787.91365845435757</v>
      </c>
      <c r="L92" s="20">
        <f t="shared" si="23"/>
        <v>869.82119104682215</v>
      </c>
      <c r="M92" s="20">
        <f t="shared" si="23"/>
        <v>954.60169500286509</v>
      </c>
      <c r="N92" s="20">
        <f t="shared" si="23"/>
        <v>1040.2791581574456</v>
      </c>
      <c r="O92" s="20">
        <f t="shared" si="23"/>
        <v>1117.1059339285746</v>
      </c>
      <c r="P92" s="20">
        <f t="shared" si="23"/>
        <v>1197.0504083279618</v>
      </c>
      <c r="Q92" s="20">
        <f t="shared" si="23"/>
        <v>1560.0316379102348</v>
      </c>
      <c r="R92" s="20">
        <f t="shared" si="23"/>
        <v>1925.6448338158921</v>
      </c>
      <c r="S92" s="20">
        <f t="shared" si="23"/>
        <v>1996.337322844824</v>
      </c>
      <c r="T92" s="20">
        <f t="shared" si="23"/>
        <v>2061.1164758400087</v>
      </c>
      <c r="U92" s="20">
        <f t="shared" si="23"/>
        <v>2126.0900470429224</v>
      </c>
    </row>
    <row r="93" spans="1:44" outlineLevel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 outlineLevel="1">
      <c r="A94" s="21" t="s">
        <v>134</v>
      </c>
      <c r="B94" s="20">
        <v>0</v>
      </c>
      <c r="C94" s="20">
        <f t="shared" ref="C94:U94" si="24">B98</f>
        <v>153.90345823970753</v>
      </c>
      <c r="D94" s="20">
        <f t="shared" si="24"/>
        <v>747.1506925514467</v>
      </c>
      <c r="E94" s="20">
        <f t="shared" si="24"/>
        <v>1235.4754542111418</v>
      </c>
      <c r="F94" s="20">
        <f t="shared" si="24"/>
        <v>962.9184487764627</v>
      </c>
      <c r="G94" s="20">
        <f t="shared" si="24"/>
        <v>507.75314790259051</v>
      </c>
      <c r="H94" s="20">
        <f t="shared" si="24"/>
        <v>0</v>
      </c>
      <c r="I94" s="20">
        <f t="shared" si="24"/>
        <v>0</v>
      </c>
      <c r="J94" s="20">
        <f t="shared" si="24"/>
        <v>0</v>
      </c>
      <c r="K94" s="20">
        <f t="shared" si="24"/>
        <v>0</v>
      </c>
      <c r="L94" s="20">
        <f t="shared" si="24"/>
        <v>0</v>
      </c>
      <c r="M94" s="20">
        <f t="shared" si="24"/>
        <v>0</v>
      </c>
      <c r="N94" s="20">
        <f>M98</f>
        <v>0</v>
      </c>
      <c r="O94" s="20">
        <f t="shared" si="24"/>
        <v>0</v>
      </c>
      <c r="P94" s="20">
        <f t="shared" si="24"/>
        <v>0</v>
      </c>
      <c r="Q94" s="20">
        <f t="shared" si="24"/>
        <v>0</v>
      </c>
      <c r="R94" s="20">
        <v>0</v>
      </c>
      <c r="S94" s="20">
        <f t="shared" si="24"/>
        <v>0</v>
      </c>
      <c r="T94" s="20">
        <f t="shared" si="24"/>
        <v>0</v>
      </c>
      <c r="U94" s="20">
        <f t="shared" si="24"/>
        <v>0</v>
      </c>
    </row>
    <row r="95" spans="1:44" outlineLevel="1">
      <c r="A95" s="21" t="s">
        <v>135</v>
      </c>
      <c r="B95" s="239">
        <f t="shared" ref="B95:U95" si="25">IF(B68&gt;2020,0,IF(B92&lt;0,-B92,0))</f>
        <v>153.90345823970753</v>
      </c>
      <c r="C95" s="239">
        <f t="shared" si="25"/>
        <v>593.24723431173913</v>
      </c>
      <c r="D95" s="239">
        <f t="shared" si="25"/>
        <v>488.32476165969513</v>
      </c>
      <c r="E95" s="239">
        <f t="shared" si="25"/>
        <v>0</v>
      </c>
      <c r="F95" s="239">
        <f t="shared" si="25"/>
        <v>0</v>
      </c>
      <c r="G95" s="239">
        <f t="shared" si="25"/>
        <v>0</v>
      </c>
      <c r="H95" s="239">
        <f t="shared" si="25"/>
        <v>0</v>
      </c>
      <c r="I95" s="239">
        <f t="shared" si="25"/>
        <v>0</v>
      </c>
      <c r="J95" s="239">
        <f t="shared" si="25"/>
        <v>0</v>
      </c>
      <c r="K95" s="239">
        <f t="shared" si="25"/>
        <v>0</v>
      </c>
      <c r="L95" s="239">
        <f t="shared" si="25"/>
        <v>0</v>
      </c>
      <c r="M95" s="239">
        <f t="shared" si="25"/>
        <v>0</v>
      </c>
      <c r="N95" s="239">
        <f t="shared" si="25"/>
        <v>0</v>
      </c>
      <c r="O95" s="239">
        <f t="shared" si="25"/>
        <v>0</v>
      </c>
      <c r="P95" s="239">
        <f t="shared" si="25"/>
        <v>0</v>
      </c>
      <c r="Q95" s="239">
        <f t="shared" si="25"/>
        <v>0</v>
      </c>
      <c r="R95" s="239">
        <f t="shared" si="25"/>
        <v>0</v>
      </c>
      <c r="S95" s="239">
        <f t="shared" si="25"/>
        <v>0</v>
      </c>
      <c r="T95" s="239">
        <f t="shared" si="25"/>
        <v>0</v>
      </c>
      <c r="U95" s="239">
        <f t="shared" si="25"/>
        <v>0</v>
      </c>
    </row>
    <row r="96" spans="1:44" outlineLevel="1">
      <c r="A96" s="21" t="s">
        <v>136</v>
      </c>
      <c r="B96" s="229">
        <v>0</v>
      </c>
      <c r="C96" s="229">
        <v>0</v>
      </c>
      <c r="D96" s="229">
        <v>0</v>
      </c>
      <c r="E96" s="229">
        <v>0</v>
      </c>
      <c r="F96" s="229">
        <v>0</v>
      </c>
      <c r="G96" s="229">
        <v>0</v>
      </c>
      <c r="H96" s="229">
        <v>0</v>
      </c>
      <c r="I96" s="229">
        <v>0</v>
      </c>
      <c r="J96" s="229">
        <v>0</v>
      </c>
      <c r="K96" s="229">
        <v>0</v>
      </c>
      <c r="L96" s="229">
        <v>0</v>
      </c>
      <c r="M96" s="229">
        <v>0</v>
      </c>
      <c r="N96" s="229">
        <v>0</v>
      </c>
      <c r="O96" s="229">
        <v>0</v>
      </c>
      <c r="P96" s="229">
        <v>0</v>
      </c>
      <c r="Q96" s="229">
        <v>0</v>
      </c>
      <c r="R96" s="229">
        <v>0</v>
      </c>
      <c r="S96" s="229">
        <v>0</v>
      </c>
      <c r="T96" s="20">
        <f>IF(L95&gt;(SUM(M97:S97)+SUM(L96:S96))*-1,L95-(SUM(L97:S97)+SUM(L96:S96))*-1,0)</f>
        <v>0</v>
      </c>
      <c r="U96" s="20">
        <f>IF(M95&gt;(SUM(N97:T97)+SUM(M96:T96))*-1,M95-(SUM(M97:T97)+SUM(M96:T96))*-1,0)</f>
        <v>0</v>
      </c>
    </row>
    <row r="97" spans="1:23" outlineLevel="1">
      <c r="A97" s="17" t="s">
        <v>137</v>
      </c>
      <c r="B97" s="230">
        <f t="shared" ref="B97:T97" si="26">IF(B92&lt;0,0,IF(B94&gt;B92,-B92,-B94))</f>
        <v>0</v>
      </c>
      <c r="C97" s="230">
        <f t="shared" si="26"/>
        <v>0</v>
      </c>
      <c r="D97" s="230">
        <f t="shared" si="26"/>
        <v>0</v>
      </c>
      <c r="E97" s="230">
        <f t="shared" si="26"/>
        <v>-272.55700543467913</v>
      </c>
      <c r="F97" s="230">
        <f t="shared" si="26"/>
        <v>-455.16530087387218</v>
      </c>
      <c r="G97" s="230">
        <f t="shared" si="26"/>
        <v>-507.75314790259051</v>
      </c>
      <c r="H97" s="230">
        <f t="shared" si="26"/>
        <v>0</v>
      </c>
      <c r="I97" s="230">
        <f t="shared" si="26"/>
        <v>0</v>
      </c>
      <c r="J97" s="230">
        <f t="shared" si="26"/>
        <v>0</v>
      </c>
      <c r="K97" s="230">
        <f t="shared" si="26"/>
        <v>0</v>
      </c>
      <c r="L97" s="230">
        <f t="shared" si="26"/>
        <v>0</v>
      </c>
      <c r="M97" s="230">
        <f t="shared" si="26"/>
        <v>0</v>
      </c>
      <c r="N97" s="230">
        <f t="shared" si="26"/>
        <v>0</v>
      </c>
      <c r="O97" s="230">
        <f t="shared" si="26"/>
        <v>0</v>
      </c>
      <c r="P97" s="230">
        <f t="shared" si="26"/>
        <v>0</v>
      </c>
      <c r="Q97" s="230">
        <f t="shared" si="26"/>
        <v>0</v>
      </c>
      <c r="R97" s="230">
        <f t="shared" si="26"/>
        <v>0</v>
      </c>
      <c r="S97" s="230">
        <f t="shared" si="26"/>
        <v>0</v>
      </c>
      <c r="T97" s="230">
        <f t="shared" si="26"/>
        <v>0</v>
      </c>
      <c r="U97" s="230">
        <f>IF(U92&lt;0,0,IF(U94&gt;U92,-U92,-U94))</f>
        <v>0</v>
      </c>
    </row>
    <row r="98" spans="1:23" outlineLevel="1">
      <c r="A98" s="17" t="s">
        <v>138</v>
      </c>
      <c r="B98" s="230">
        <f t="shared" ref="B98:U98" si="27">SUM(B94:B97)</f>
        <v>153.90345823970753</v>
      </c>
      <c r="C98" s="230">
        <f t="shared" si="27"/>
        <v>747.1506925514467</v>
      </c>
      <c r="D98" s="230">
        <f t="shared" si="27"/>
        <v>1235.4754542111418</v>
      </c>
      <c r="E98" s="230">
        <f t="shared" si="27"/>
        <v>962.9184487764627</v>
      </c>
      <c r="F98" s="230">
        <f t="shared" si="27"/>
        <v>507.75314790259051</v>
      </c>
      <c r="G98" s="230">
        <f t="shared" si="27"/>
        <v>0</v>
      </c>
      <c r="H98" s="230">
        <f t="shared" si="27"/>
        <v>0</v>
      </c>
      <c r="I98" s="230">
        <f t="shared" si="27"/>
        <v>0</v>
      </c>
      <c r="J98" s="230">
        <f t="shared" si="27"/>
        <v>0</v>
      </c>
      <c r="K98" s="230">
        <f t="shared" si="27"/>
        <v>0</v>
      </c>
      <c r="L98" s="230">
        <f t="shared" si="27"/>
        <v>0</v>
      </c>
      <c r="M98" s="230">
        <f t="shared" si="27"/>
        <v>0</v>
      </c>
      <c r="N98" s="230">
        <f t="shared" si="27"/>
        <v>0</v>
      </c>
      <c r="O98" s="230">
        <f t="shared" si="27"/>
        <v>0</v>
      </c>
      <c r="P98" s="230">
        <f t="shared" si="27"/>
        <v>0</v>
      </c>
      <c r="Q98" s="230">
        <f t="shared" si="27"/>
        <v>0</v>
      </c>
      <c r="R98" s="230">
        <f t="shared" si="27"/>
        <v>0</v>
      </c>
      <c r="S98" s="230">
        <f t="shared" si="27"/>
        <v>0</v>
      </c>
      <c r="T98" s="230">
        <f t="shared" si="27"/>
        <v>0</v>
      </c>
      <c r="U98" s="230">
        <f t="shared" si="27"/>
        <v>0</v>
      </c>
    </row>
    <row r="99" spans="1:23" outlineLevel="1">
      <c r="A99" s="17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3" ht="13.5" outlineLevel="1" thickBot="1">
      <c r="A100" s="32" t="s">
        <v>130</v>
      </c>
      <c r="B100" s="327">
        <f t="shared" ref="B100:U100" si="28">IF(B92&lt;0,0,B92+B97)</f>
        <v>0</v>
      </c>
      <c r="C100" s="327">
        <f t="shared" si="28"/>
        <v>0</v>
      </c>
      <c r="D100" s="327">
        <f t="shared" si="28"/>
        <v>0</v>
      </c>
      <c r="E100" s="327">
        <f t="shared" si="28"/>
        <v>0</v>
      </c>
      <c r="F100" s="327">
        <f t="shared" si="28"/>
        <v>0</v>
      </c>
      <c r="G100" s="327">
        <f t="shared" si="28"/>
        <v>60.734653280313978</v>
      </c>
      <c r="H100" s="327">
        <f t="shared" si="28"/>
        <v>648.09580740500598</v>
      </c>
      <c r="I100" s="327">
        <f t="shared" si="28"/>
        <v>695.16507639413294</v>
      </c>
      <c r="J100" s="327">
        <f t="shared" si="28"/>
        <v>751.10439754845549</v>
      </c>
      <c r="K100" s="327">
        <f t="shared" si="28"/>
        <v>787.91365845435757</v>
      </c>
      <c r="L100" s="327">
        <f t="shared" si="28"/>
        <v>869.82119104682215</v>
      </c>
      <c r="M100" s="327">
        <f t="shared" si="28"/>
        <v>954.60169500286509</v>
      </c>
      <c r="N100" s="327">
        <f t="shared" si="28"/>
        <v>1040.2791581574456</v>
      </c>
      <c r="O100" s="327">
        <f t="shared" si="28"/>
        <v>1117.1059339285746</v>
      </c>
      <c r="P100" s="327">
        <f t="shared" si="28"/>
        <v>1197.0504083279618</v>
      </c>
      <c r="Q100" s="327">
        <f t="shared" si="28"/>
        <v>1560.0316379102348</v>
      </c>
      <c r="R100" s="327">
        <f t="shared" si="28"/>
        <v>1925.6448338158921</v>
      </c>
      <c r="S100" s="327">
        <f t="shared" si="28"/>
        <v>1996.337322844824</v>
      </c>
      <c r="T100" s="327">
        <f t="shared" si="28"/>
        <v>2061.1164758400087</v>
      </c>
      <c r="U100" s="327">
        <f t="shared" si="28"/>
        <v>2126.0900470429224</v>
      </c>
      <c r="W100" s="420">
        <f>SUM(B100:U100)</f>
        <v>17791.092296999814</v>
      </c>
    </row>
    <row r="101" spans="1:23" outlineLevel="1">
      <c r="A101" s="7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59"/>
      <c r="M101" s="59"/>
      <c r="N101" s="59"/>
      <c r="O101" s="59"/>
      <c r="P101" s="59"/>
      <c r="Q101" s="59"/>
      <c r="R101" s="59"/>
      <c r="S101" s="59"/>
      <c r="T101" s="59"/>
      <c r="U101" s="59"/>
    </row>
    <row r="102" spans="1:23" ht="15.75" outlineLevel="1">
      <c r="A102" s="72"/>
      <c r="B102" s="7"/>
      <c r="C102" s="73"/>
      <c r="D102" s="7"/>
      <c r="E102" s="7"/>
      <c r="F102" s="7"/>
      <c r="G102" s="7"/>
      <c r="H102" s="7"/>
      <c r="I102" s="7"/>
      <c r="J102" s="7"/>
      <c r="K102" s="7"/>
      <c r="L102" s="59"/>
      <c r="M102" s="59"/>
      <c r="N102" s="59"/>
      <c r="O102" s="59"/>
      <c r="P102" s="59"/>
      <c r="Q102" s="59"/>
      <c r="R102" s="59"/>
      <c r="S102" s="59"/>
      <c r="T102" s="59"/>
      <c r="U102" s="59"/>
    </row>
    <row r="103" spans="1:23" outlineLevel="1">
      <c r="A103" s="57"/>
      <c r="B103" s="73"/>
      <c r="C103" s="76"/>
      <c r="D103" s="77"/>
      <c r="E103" s="77"/>
      <c r="F103" s="77"/>
      <c r="G103" s="77"/>
      <c r="H103" s="77"/>
      <c r="I103" s="77"/>
      <c r="J103" s="77"/>
      <c r="K103" s="77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outlineLevel="1">
      <c r="A104" s="519"/>
      <c r="B104" s="519"/>
      <c r="C104" s="519"/>
      <c r="D104" s="519"/>
      <c r="E104" s="519"/>
      <c r="F104" s="519"/>
      <c r="G104" s="519"/>
      <c r="H104" s="519"/>
      <c r="I104" s="519"/>
      <c r="J104" s="519"/>
      <c r="K104" s="519"/>
      <c r="L104" s="519"/>
      <c r="M104" s="519"/>
      <c r="N104" s="519"/>
      <c r="O104" s="519"/>
      <c r="P104" s="519"/>
      <c r="Q104" s="519"/>
      <c r="R104" s="519"/>
      <c r="S104" s="519"/>
      <c r="T104" s="519"/>
      <c r="U104" s="519"/>
    </row>
    <row r="105" spans="1:23" outlineLevel="1">
      <c r="A105" s="7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outlineLevel="1">
      <c r="A106" s="522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523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outlineLevel="1">
      <c r="A108" s="7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57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5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ht="14.25" outlineLevel="1">
      <c r="A113" s="75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8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81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2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2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82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8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ht="15" customHeight="1" outlineLevel="1">
      <c r="A137" s="80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80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ht="14.25" customHeight="1" outlineLevel="1">
      <c r="A139" s="80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80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80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83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83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outlineLevel="1">
      <c r="A144" s="83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outlineLevel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 outlineLevel="1">
      <c r="A146" s="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 outlineLevel="1">
      <c r="A147" s="7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 outlineLevel="1">
      <c r="A148" s="7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 ht="18.75" outlineLevel="1">
      <c r="A149" s="84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1:21" outlineLevel="1">
      <c r="A150" s="57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1:21" outlineLevel="1">
      <c r="A151" s="57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1:21" outlineLevel="1">
      <c r="A152" s="7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1:21" outlineLevel="1">
      <c r="A153" s="7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1:21" outlineLevel="1">
      <c r="A154" s="2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8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69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7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7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9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6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80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6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80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80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82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78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78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9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79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1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79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2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82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 outlineLevel="1">
      <c r="A187" s="79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 outlineLevel="1">
      <c r="A188" s="79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 outlineLevel="1">
      <c r="A189" s="78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 outlineLevel="1">
      <c r="A190" s="80"/>
      <c r="B190" s="69"/>
      <c r="C190" s="6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</row>
    <row r="191" spans="1:21" outlineLevel="1">
      <c r="A191" s="80"/>
      <c r="B191" s="69"/>
      <c r="C191" s="6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</row>
    <row r="192" spans="1:21" outlineLevel="1">
      <c r="A192" s="80"/>
      <c r="B192" s="69"/>
      <c r="C192" s="6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</row>
    <row r="193" spans="1:21" outlineLevel="1">
      <c r="A193" s="80"/>
      <c r="B193" s="69"/>
      <c r="C193" s="6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</row>
    <row r="194" spans="1:21" outlineLevel="1">
      <c r="A194" s="80"/>
      <c r="B194" s="69"/>
      <c r="C194" s="6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</row>
    <row r="195" spans="1:21" outlineLevel="1">
      <c r="A195" s="80"/>
      <c r="B195" s="69"/>
      <c r="C195" s="6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</row>
    <row r="196" spans="1:21" outlineLevel="1">
      <c r="A196" s="80"/>
      <c r="B196" s="69"/>
      <c r="C196" s="6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</row>
    <row r="197" spans="1:21" outlineLevel="1">
      <c r="A197" s="7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</row>
    <row r="198" spans="1:21" outlineLevel="1">
      <c r="A198" s="7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</row>
    <row r="199" spans="1:21" outlineLevel="1">
      <c r="A199" s="7"/>
      <c r="B199" s="7"/>
      <c r="C199" s="7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 spans="1:21" ht="18.75" outlineLevel="1">
      <c r="A200" s="8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5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2"/>
      <c r="B204" s="9"/>
      <c r="C204" s="9"/>
      <c r="D204" s="9"/>
      <c r="E204" s="9"/>
      <c r="F204" s="9"/>
      <c r="G204" s="9"/>
      <c r="H204" s="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6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86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6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6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6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57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7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7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86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86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86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86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86"/>
      <c r="B240" s="87"/>
      <c r="C240" s="87"/>
      <c r="D240" s="87"/>
      <c r="E240" s="87"/>
      <c r="F240" s="87"/>
      <c r="G240" s="87"/>
      <c r="H240" s="87"/>
      <c r="I240" s="7"/>
      <c r="J240" s="8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86"/>
      <c r="B241" s="87"/>
      <c r="C241" s="87"/>
      <c r="D241" s="87"/>
      <c r="E241" s="87"/>
      <c r="F241" s="87"/>
      <c r="G241" s="87"/>
      <c r="H241" s="87"/>
      <c r="I241" s="7"/>
      <c r="J241" s="8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57"/>
      <c r="B242" s="87"/>
      <c r="C242" s="87"/>
      <c r="D242" s="87"/>
      <c r="E242" s="87"/>
      <c r="F242" s="87"/>
      <c r="G242" s="87"/>
      <c r="H242" s="87"/>
      <c r="I242" s="7"/>
      <c r="J242" s="8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87"/>
      <c r="C243" s="87"/>
      <c r="D243" s="87"/>
      <c r="E243" s="87"/>
      <c r="F243" s="87"/>
      <c r="G243" s="87"/>
      <c r="H243" s="87"/>
      <c r="I243" s="7"/>
      <c r="J243" s="8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87"/>
      <c r="C244" s="87"/>
      <c r="D244" s="87"/>
      <c r="E244" s="87"/>
      <c r="F244" s="87"/>
      <c r="G244" s="87"/>
      <c r="H244" s="87"/>
      <c r="I244" s="7"/>
      <c r="J244" s="8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57"/>
      <c r="B245" s="87"/>
      <c r="C245" s="87"/>
      <c r="D245" s="87"/>
      <c r="E245" s="87"/>
      <c r="F245" s="87"/>
      <c r="G245" s="87"/>
      <c r="H245" s="87"/>
      <c r="I245" s="7"/>
      <c r="J245" s="8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57"/>
      <c r="B246" s="87"/>
      <c r="C246" s="87"/>
      <c r="D246" s="87"/>
      <c r="E246" s="87"/>
      <c r="F246" s="87"/>
      <c r="G246" s="87"/>
      <c r="H246" s="87"/>
      <c r="I246" s="7"/>
      <c r="J246" s="8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7"/>
      <c r="C248" s="59"/>
      <c r="D248" s="59"/>
      <c r="E248" s="59"/>
      <c r="F248" s="59"/>
      <c r="G248" s="59"/>
      <c r="H248" s="5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59"/>
      <c r="D249" s="59"/>
      <c r="E249" s="59"/>
      <c r="F249" s="59"/>
      <c r="G249" s="59"/>
      <c r="H249" s="5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57"/>
      <c r="B250" s="7"/>
      <c r="C250" s="59"/>
      <c r="D250" s="59"/>
      <c r="E250" s="59"/>
      <c r="F250" s="59"/>
      <c r="G250" s="59"/>
      <c r="H250" s="5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59"/>
      <c r="D251" s="59"/>
      <c r="E251" s="59"/>
      <c r="F251" s="59"/>
      <c r="G251" s="59"/>
      <c r="H251" s="5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8.75" outlineLevel="1">
      <c r="A253" s="8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s="90" customFormat="1" outlineLevel="1">
      <c r="A257" s="89"/>
    </row>
    <row r="258" spans="1:21" outlineLevel="1">
      <c r="A258" s="5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7"/>
      <c r="C259" s="91"/>
      <c r="D259" s="91"/>
      <c r="E259" s="91"/>
      <c r="F259" s="91"/>
      <c r="G259" s="91"/>
      <c r="H259" s="91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7"/>
      <c r="C260" s="91"/>
      <c r="D260" s="91"/>
      <c r="E260" s="91"/>
      <c r="F260" s="91"/>
      <c r="G260" s="91"/>
      <c r="H260" s="91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93"/>
      <c r="D261" s="93"/>
      <c r="E261" s="93"/>
      <c r="F261" s="93"/>
      <c r="G261" s="93"/>
      <c r="H261" s="93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8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94"/>
      <c r="B264" s="7"/>
      <c r="C264" s="59"/>
      <c r="D264" s="59"/>
      <c r="E264" s="59"/>
      <c r="F264" s="59"/>
      <c r="G264" s="59"/>
      <c r="H264" s="5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94"/>
      <c r="B265" s="7"/>
      <c r="C265" s="59"/>
      <c r="D265" s="59"/>
      <c r="E265" s="59"/>
      <c r="F265" s="59"/>
      <c r="G265" s="59"/>
      <c r="H265" s="5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94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94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94"/>
      <c r="B268" s="7"/>
      <c r="C268" s="91"/>
      <c r="D268" s="91"/>
      <c r="E268" s="91"/>
      <c r="F268" s="91"/>
      <c r="G268" s="91"/>
      <c r="H268" s="91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57"/>
      <c r="B269" s="7"/>
      <c r="C269" s="95"/>
      <c r="D269" s="95"/>
      <c r="E269" s="95"/>
      <c r="F269" s="95"/>
      <c r="G269" s="95"/>
      <c r="H269" s="9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94"/>
      <c r="B270" s="7"/>
      <c r="C270" s="96"/>
      <c r="D270" s="96"/>
      <c r="E270" s="96"/>
      <c r="F270" s="96"/>
      <c r="G270" s="96"/>
      <c r="H270" s="9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94"/>
      <c r="B271" s="7"/>
      <c r="C271" s="96"/>
      <c r="D271" s="96"/>
      <c r="E271" s="96"/>
      <c r="F271" s="96"/>
      <c r="G271" s="96"/>
      <c r="H271" s="9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6"/>
      <c r="D272" s="96"/>
      <c r="E272" s="96"/>
      <c r="F272" s="96"/>
      <c r="G272" s="96"/>
      <c r="H272" s="9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6"/>
      <c r="D273" s="96"/>
      <c r="E273" s="96"/>
      <c r="F273" s="96"/>
      <c r="G273" s="96"/>
      <c r="H273" s="9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7"/>
      <c r="C274" s="95"/>
      <c r="D274" s="95"/>
      <c r="E274" s="95"/>
      <c r="F274" s="95"/>
      <c r="G274" s="95"/>
      <c r="H274" s="95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5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59"/>
      <c r="D276" s="59"/>
      <c r="E276" s="59"/>
      <c r="F276" s="59"/>
      <c r="G276" s="59"/>
      <c r="H276" s="5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59"/>
      <c r="D277" s="59"/>
      <c r="E277" s="59"/>
      <c r="F277" s="59"/>
      <c r="G277" s="59"/>
      <c r="H277" s="5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59"/>
      <c r="D278" s="59"/>
      <c r="E278" s="59"/>
      <c r="F278" s="59"/>
      <c r="G278" s="59"/>
      <c r="H278" s="5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97"/>
      <c r="C279" s="59"/>
      <c r="D279" s="59"/>
      <c r="E279" s="59"/>
      <c r="F279" s="59"/>
      <c r="G279" s="59"/>
      <c r="H279" s="5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5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94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94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94"/>
      <c r="B285" s="97"/>
      <c r="C285" s="91"/>
      <c r="D285" s="91"/>
      <c r="E285" s="91"/>
      <c r="F285" s="91"/>
      <c r="G285" s="91"/>
      <c r="H285" s="9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91"/>
      <c r="D286" s="91"/>
      <c r="E286" s="91"/>
      <c r="F286" s="91"/>
      <c r="G286" s="91"/>
      <c r="H286" s="9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7"/>
      <c r="B287" s="7"/>
      <c r="C287" s="91"/>
      <c r="D287" s="91"/>
      <c r="E287" s="91"/>
      <c r="F287" s="91"/>
      <c r="G287" s="91"/>
      <c r="H287" s="91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7"/>
      <c r="C288" s="91"/>
      <c r="D288" s="91"/>
      <c r="E288" s="91"/>
      <c r="F288" s="91"/>
      <c r="G288" s="91"/>
      <c r="H288" s="91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91"/>
      <c r="D289" s="91"/>
      <c r="E289" s="91"/>
      <c r="F289" s="91"/>
      <c r="G289" s="91"/>
      <c r="H289" s="91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91"/>
      <c r="D290" s="91"/>
      <c r="E290" s="91"/>
      <c r="F290" s="91"/>
      <c r="G290" s="91"/>
      <c r="H290" s="91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1"/>
      <c r="D291" s="91"/>
      <c r="E291" s="91"/>
      <c r="F291" s="91"/>
      <c r="G291" s="91"/>
      <c r="H291" s="91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57"/>
      <c r="B293" s="98"/>
      <c r="C293" s="98"/>
      <c r="D293" s="98"/>
      <c r="E293" s="98"/>
      <c r="F293" s="98"/>
      <c r="G293" s="98"/>
      <c r="H293" s="9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57"/>
      <c r="B294" s="97"/>
      <c r="C294" s="98"/>
      <c r="D294" s="98"/>
      <c r="E294" s="98"/>
      <c r="F294" s="98"/>
      <c r="G294" s="98"/>
      <c r="H294" s="9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57"/>
      <c r="B295" s="98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7"/>
      <c r="C296" s="98"/>
      <c r="D296" s="98"/>
      <c r="E296" s="98"/>
      <c r="F296" s="98"/>
      <c r="G296" s="98"/>
      <c r="H296" s="9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5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5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7"/>
      <c r="B301" s="7"/>
      <c r="C301" s="87"/>
      <c r="D301" s="87"/>
      <c r="E301" s="87"/>
      <c r="F301" s="87"/>
      <c r="G301" s="87"/>
      <c r="H301" s="8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7"/>
      <c r="B302" s="7"/>
      <c r="C302" s="98"/>
      <c r="D302" s="98"/>
      <c r="E302" s="98"/>
      <c r="F302" s="98"/>
      <c r="G302" s="98"/>
      <c r="H302" s="9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7"/>
      <c r="B303" s="7"/>
      <c r="C303" s="99"/>
      <c r="D303" s="99"/>
      <c r="E303" s="99"/>
      <c r="F303" s="99"/>
      <c r="G303" s="99"/>
      <c r="H303" s="9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7"/>
      <c r="B304" s="7"/>
      <c r="C304" s="87"/>
      <c r="D304" s="87"/>
      <c r="E304" s="87"/>
      <c r="F304" s="87"/>
      <c r="G304" s="87"/>
      <c r="H304" s="8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7" outlineLevel="1">
      <c r="A305" s="7"/>
      <c r="B305" s="7"/>
      <c r="C305" s="99"/>
      <c r="D305" s="99"/>
      <c r="E305" s="99"/>
      <c r="F305" s="99"/>
      <c r="G305" s="99"/>
      <c r="H305" s="9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7" outlineLevel="1">
      <c r="A306" s="7"/>
      <c r="B306" s="7"/>
      <c r="C306" s="100"/>
      <c r="D306" s="100"/>
      <c r="E306" s="100"/>
      <c r="F306" s="100"/>
      <c r="G306" s="100"/>
      <c r="H306" s="100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7" outlineLevel="1">
      <c r="A307" s="7"/>
      <c r="B307" s="7"/>
      <c r="C307" s="100"/>
      <c r="D307" s="100"/>
      <c r="E307" s="100"/>
      <c r="F307" s="100"/>
      <c r="G307" s="100"/>
      <c r="H307" s="100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7" ht="18.75" hidden="1" outlineLevel="2">
      <c r="A308" s="84"/>
      <c r="B308" s="7"/>
      <c r="C308" s="100"/>
      <c r="D308" s="100"/>
      <c r="E308" s="100"/>
      <c r="F308" s="100"/>
      <c r="G308" s="100"/>
      <c r="H308" s="10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7" hidden="1" outlineLevel="2">
      <c r="A309" s="57"/>
      <c r="B309" s="7"/>
      <c r="C309" s="100"/>
      <c r="D309" s="100"/>
      <c r="E309" s="100"/>
      <c r="F309" s="100"/>
      <c r="G309" s="100"/>
      <c r="H309" s="10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7" hidden="1" outlineLevel="2">
      <c r="A310" s="7"/>
      <c r="B310" s="7"/>
      <c r="C310" s="100"/>
      <c r="D310" s="100"/>
      <c r="E310" s="100"/>
      <c r="F310" s="100"/>
      <c r="G310" s="100"/>
      <c r="H310" s="10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7" hidden="1" outlineLevel="2">
      <c r="A311" s="57"/>
      <c r="B311" s="11"/>
      <c r="C311" s="11"/>
      <c r="D311" s="10"/>
      <c r="E311" s="10"/>
      <c r="F311" s="11"/>
      <c r="G311" s="11"/>
      <c r="H311" s="10"/>
      <c r="I311" s="11"/>
      <c r="J311" s="11"/>
      <c r="K311" s="11"/>
      <c r="L311" s="10"/>
      <c r="M311" s="11"/>
      <c r="N311" s="11"/>
      <c r="O311" s="7"/>
      <c r="P311" s="7"/>
      <c r="Q311" s="7"/>
      <c r="R311" s="7"/>
      <c r="S311" s="7"/>
      <c r="T311" s="11"/>
      <c r="U311" s="7"/>
    </row>
    <row r="312" spans="1:27" hidden="1" outlineLevel="2">
      <c r="A312" s="5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7" hidden="1" outlineLevel="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7" hidden="1" outlineLevel="2">
      <c r="A314" s="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7"/>
      <c r="P314" s="7"/>
      <c r="Q314" s="7"/>
      <c r="R314" s="7"/>
      <c r="S314" s="7"/>
      <c r="T314" s="87"/>
      <c r="U314" s="7"/>
    </row>
    <row r="315" spans="1:27" hidden="1" outlineLevel="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7" hidden="1" outlineLevel="2">
      <c r="A316" s="7"/>
      <c r="B316" s="98"/>
      <c r="C316" s="98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7"/>
      <c r="P316" s="7"/>
      <c r="Q316" s="7"/>
      <c r="R316" s="7"/>
      <c r="S316" s="7"/>
      <c r="T316" s="87"/>
      <c r="U316" s="7"/>
    </row>
    <row r="317" spans="1:27" hidden="1" outlineLevel="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7" hidden="1" outlineLevel="2">
      <c r="A318" s="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7"/>
      <c r="P318" s="7"/>
      <c r="Q318" s="7"/>
      <c r="R318" s="7"/>
      <c r="S318" s="7"/>
      <c r="T318" s="87"/>
      <c r="U318" s="87"/>
      <c r="V318" s="87"/>
      <c r="W318" s="87"/>
      <c r="X318" s="87"/>
      <c r="Y318" s="87"/>
      <c r="Z318" s="87"/>
      <c r="AA318" s="87"/>
    </row>
    <row r="319" spans="1:27" hidden="1" outlineLevel="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7" hidden="1" outlineLevel="2">
      <c r="A320" s="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7"/>
      <c r="P320" s="7"/>
      <c r="Q320" s="7"/>
      <c r="R320" s="7"/>
      <c r="S320" s="7"/>
      <c r="T320" s="87"/>
      <c r="U320" s="7"/>
    </row>
    <row r="321" spans="1:22" hidden="1" outlineLevel="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2" hidden="1" outlineLevel="2">
      <c r="A322" s="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7"/>
      <c r="P322" s="7"/>
      <c r="Q322" s="7"/>
      <c r="R322" s="7"/>
      <c r="S322" s="7"/>
      <c r="T322" s="87"/>
      <c r="U322" s="87"/>
    </row>
    <row r="323" spans="1:22" hidden="1" outlineLevel="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2" hidden="1" outlineLevel="2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7"/>
      <c r="P324" s="7"/>
      <c r="Q324" s="7"/>
      <c r="R324" s="7"/>
      <c r="S324" s="7"/>
      <c r="T324" s="87"/>
      <c r="U324" s="87"/>
    </row>
    <row r="325" spans="1:22" hidden="1" outlineLevel="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2" outlineLevel="1" collapsed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2" outlineLevel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2" outlineLevel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2" ht="18.75" outlineLevel="1">
      <c r="A329" s="8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2" outlineLevel="1">
      <c r="A330" s="5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2" outlineLevel="1">
      <c r="A331" s="5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2" outlineLevel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2" outlineLevel="1">
      <c r="A333" s="2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22" outlineLevel="1">
      <c r="A334" s="5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2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</row>
    <row r="336" spans="1:22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</row>
    <row r="337" spans="1:22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</row>
    <row r="338" spans="1:22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</row>
    <row r="339" spans="1:22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</row>
    <row r="340" spans="1:22" outlineLevel="1">
      <c r="A340" s="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</row>
    <row r="341" spans="1:22" outlineLevel="1">
      <c r="A341" s="5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</row>
    <row r="342" spans="1:22" outlineLevel="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</row>
    <row r="343" spans="1:22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</row>
    <row r="344" spans="1:22" outlineLevel="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</row>
    <row r="345" spans="1:22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</row>
    <row r="346" spans="1:22" outlineLevel="1">
      <c r="A346" s="86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</row>
    <row r="347" spans="1:22" outlineLevel="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</row>
    <row r="348" spans="1:22" outlineLevel="1">
      <c r="A348" s="86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</row>
    <row r="349" spans="1:22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</row>
    <row r="350" spans="1:22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</row>
    <row r="351" spans="1:22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</row>
    <row r="352" spans="1:22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</row>
    <row r="353" spans="1:22" outlineLevel="1">
      <c r="A353" s="5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</row>
    <row r="354" spans="1:22" outlineLevel="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</row>
    <row r="355" spans="1:22" outlineLevel="1">
      <c r="A355" s="5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</row>
    <row r="356" spans="1:22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</row>
    <row r="357" spans="1:22" outlineLevel="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</row>
    <row r="358" spans="1:22" outlineLevel="1">
      <c r="A358" s="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</row>
    <row r="359" spans="1:22" outlineLevel="1">
      <c r="A359" s="5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</row>
    <row r="360" spans="1:22" outlineLevel="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</row>
    <row r="361" spans="1:22" outlineLevel="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</row>
    <row r="362" spans="1:22" outlineLevel="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</row>
    <row r="363" spans="1:22" outlineLevel="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</row>
    <row r="364" spans="1:22" outlineLevel="1">
      <c r="A364" s="5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</row>
    <row r="365" spans="1:22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</row>
    <row r="366" spans="1:22" outlineLevel="1">
      <c r="A366" s="86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</row>
    <row r="367" spans="1:22" outlineLevel="1">
      <c r="A367" s="86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</row>
    <row r="368" spans="1:22" outlineLevel="1">
      <c r="A368" s="86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</row>
    <row r="369" spans="1:22" outlineLevel="1">
      <c r="A369" s="86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</row>
    <row r="370" spans="1:22" outlineLevel="1">
      <c r="A370" s="86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</row>
    <row r="371" spans="1:22" outlineLevel="1">
      <c r="A371" s="2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</row>
    <row r="372" spans="1:22" outlineLevel="1">
      <c r="A372" s="5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</row>
    <row r="373" spans="1:22" outlineLevel="1">
      <c r="A373" s="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</row>
    <row r="374" spans="1:22" outlineLevel="1">
      <c r="A374" s="5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</row>
    <row r="375" spans="1:22" outlineLevel="1">
      <c r="A375" s="5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</row>
    <row r="376" spans="1:22" outlineLevel="1">
      <c r="A376" s="5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</row>
    <row r="377" spans="1:22" outlineLevel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2" outlineLevel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2" ht="18.75" outlineLevel="1">
      <c r="A379" s="8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2" outlineLevel="1">
      <c r="A380" s="5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2" outlineLevel="1">
      <c r="A381" s="5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2" outlineLevel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2" outlineLevel="1">
      <c r="A383" s="2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7"/>
      <c r="P383" s="7"/>
      <c r="Q383" s="7"/>
      <c r="R383" s="7"/>
      <c r="S383" s="7"/>
      <c r="T383" s="7"/>
      <c r="U383" s="7"/>
    </row>
    <row r="384" spans="1:22" outlineLevel="1">
      <c r="A384" s="5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5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86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86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86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86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86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 outlineLevel="1">
      <c r="A408" s="86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 outlineLevel="1">
      <c r="A410" s="5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7"/>
      <c r="P410" s="7"/>
      <c r="Q410" s="7"/>
      <c r="R410" s="7"/>
      <c r="S410" s="7"/>
      <c r="T410" s="7"/>
      <c r="U410" s="7"/>
    </row>
    <row r="411" spans="1:21" outlineLevel="1">
      <c r="A411" s="5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7"/>
      <c r="P411" s="7"/>
      <c r="Q411" s="7"/>
      <c r="R411" s="7"/>
      <c r="S411" s="7"/>
      <c r="T411" s="7"/>
      <c r="U411" s="7"/>
    </row>
    <row r="412" spans="1:21" outlineLevel="1">
      <c r="A412" s="57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7"/>
      <c r="P412" s="7"/>
      <c r="Q412" s="7"/>
      <c r="R412" s="7"/>
      <c r="S412" s="7"/>
      <c r="T412" s="7"/>
      <c r="U412" s="7"/>
    </row>
    <row r="413" spans="1:21" outlineLevel="1">
      <c r="A413" s="57"/>
      <c r="B413" s="101"/>
      <c r="C413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101"/>
      <c r="C414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7"/>
      <c r="P414" s="7"/>
      <c r="Q414" s="7"/>
      <c r="R414" s="7"/>
      <c r="S414" s="7"/>
      <c r="T414" s="7"/>
      <c r="U414" s="7"/>
    </row>
    <row r="415" spans="1:21" outlineLevel="1">
      <c r="A415" s="57"/>
      <c r="B415" s="101"/>
      <c r="C415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7"/>
      <c r="P415" s="7"/>
      <c r="Q415" s="7"/>
      <c r="R415" s="7"/>
      <c r="S415" s="7"/>
      <c r="T415" s="7"/>
      <c r="U415" s="7"/>
    </row>
    <row r="416" spans="1:21" outlineLevel="1">
      <c r="A416" s="57"/>
      <c r="B416" s="101"/>
      <c r="C416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101"/>
      <c r="C417"/>
      <c r="D417"/>
      <c r="E417"/>
      <c r="F417"/>
      <c r="G417"/>
      <c r="H417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7"/>
      <c r="B418" s="101"/>
      <c r="C418"/>
      <c r="D418"/>
      <c r="E418"/>
      <c r="F418"/>
      <c r="G418"/>
      <c r="H418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/>
      <c r="D419"/>
      <c r="E419"/>
      <c r="F419"/>
      <c r="G419"/>
      <c r="H419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/>
      <c r="D420"/>
      <c r="E420"/>
      <c r="F420"/>
      <c r="G420"/>
      <c r="H420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/>
      <c r="D421"/>
      <c r="E421"/>
      <c r="F421"/>
      <c r="G421"/>
      <c r="H42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5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 outlineLevel="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 outlineLevel="1">
      <c r="A426" s="5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 outlineLevel="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</row>
    <row r="429" spans="1:21" outlineLevel="1">
      <c r="A429" s="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</row>
    <row r="430" spans="1:21" outlineLevel="1">
      <c r="A430" s="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</row>
    <row r="431" spans="1:21" outlineLevel="1">
      <c r="A431" s="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</row>
    <row r="432" spans="1:21" outlineLevel="1">
      <c r="A432" s="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</row>
    <row r="433" spans="1:21" outlineLevel="1">
      <c r="A433" s="7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</row>
    <row r="434" spans="1:21" outlineLevel="1">
      <c r="A434" s="7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</row>
    <row r="435" spans="1:21" outlineLevel="1">
      <c r="A435" s="7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7"/>
      <c r="P435" s="7"/>
      <c r="Q435" s="7"/>
      <c r="R435" s="7"/>
      <c r="S435" s="7"/>
      <c r="T435" s="7"/>
      <c r="U435" s="7"/>
    </row>
    <row r="436" spans="1:21" outlineLevel="1">
      <c r="A436" s="57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7"/>
      <c r="P436" s="7"/>
      <c r="Q436" s="7"/>
      <c r="R436" s="7"/>
      <c r="S436" s="7"/>
      <c r="T436" s="7"/>
      <c r="U436" s="7"/>
    </row>
    <row r="437" spans="1:21" outlineLevel="1">
      <c r="A437" s="57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7"/>
      <c r="P437" s="7"/>
      <c r="Q437" s="7"/>
      <c r="R437" s="7"/>
      <c r="S437" s="7"/>
      <c r="T437" s="7"/>
      <c r="U437" s="7"/>
    </row>
    <row r="438" spans="1:21" outlineLevel="1">
      <c r="A438" s="57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7"/>
      <c r="P438" s="7"/>
      <c r="Q438" s="7"/>
      <c r="R438" s="7"/>
      <c r="S438" s="7"/>
      <c r="T438" s="7"/>
      <c r="U438" s="7"/>
    </row>
    <row r="439" spans="1:21" outlineLevel="1">
      <c r="A439" s="57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7"/>
      <c r="P439" s="7"/>
      <c r="Q439" s="7"/>
      <c r="R439" s="7"/>
      <c r="S439" s="7"/>
      <c r="T439" s="7"/>
      <c r="U439" s="7"/>
    </row>
    <row r="440" spans="1:21" outlineLevel="1">
      <c r="A440" s="57"/>
      <c r="B440" s="102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8.75" outlineLevel="1">
      <c r="A442" s="8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outlineLevel="1">
      <c r="A443" s="5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outlineLevel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outlineLevel="1">
      <c r="A446" s="2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 spans="1:21" outlineLevel="1">
      <c r="A447" s="7"/>
      <c r="B447" s="7"/>
      <c r="C447" s="7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outlineLevel="1">
      <c r="A448" s="57"/>
      <c r="B448" s="7"/>
      <c r="C448" s="73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7"/>
      <c r="P448" s="7"/>
      <c r="Q448" s="7"/>
      <c r="R448" s="7"/>
      <c r="S448" s="7"/>
      <c r="T448" s="7"/>
      <c r="U448" s="7"/>
    </row>
    <row r="449" spans="1:21" outlineLevel="1">
      <c r="A449" s="7"/>
      <c r="B449" s="7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3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"/>
      <c r="P451" s="7"/>
      <c r="Q451" s="7"/>
      <c r="R451" s="7"/>
      <c r="S451" s="7"/>
      <c r="T451" s="7"/>
      <c r="U451" s="7"/>
    </row>
    <row r="452" spans="1:21" outlineLevel="1">
      <c r="A452" s="7"/>
      <c r="B452" s="7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"/>
      <c r="P452" s="7"/>
      <c r="Q452" s="7"/>
      <c r="R452" s="7"/>
      <c r="S452" s="7"/>
      <c r="T452" s="7"/>
      <c r="U452" s="7"/>
    </row>
    <row r="453" spans="1:21" outlineLevel="1">
      <c r="A453" s="94"/>
      <c r="B453" s="7"/>
      <c r="C453" s="7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7"/>
      <c r="P453" s="7"/>
      <c r="Q453" s="7"/>
      <c r="R453" s="7"/>
      <c r="S453" s="7"/>
      <c r="T453" s="7"/>
      <c r="U453" s="7"/>
    </row>
    <row r="454" spans="1:21" outlineLevel="1">
      <c r="A454" s="94"/>
      <c r="B454" s="7"/>
      <c r="C454" s="73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7"/>
      <c r="P454" s="7"/>
      <c r="Q454" s="7"/>
      <c r="R454" s="7"/>
      <c r="S454" s="7"/>
      <c r="T454" s="7"/>
      <c r="U454" s="7"/>
    </row>
    <row r="455" spans="1:21" outlineLevel="1">
      <c r="A455" s="57"/>
      <c r="B455" s="7"/>
      <c r="C455" s="7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outlineLevel="1">
      <c r="A456" s="7"/>
      <c r="B456" s="102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7"/>
      <c r="P456" s="7"/>
      <c r="Q456" s="7"/>
      <c r="R456" s="7"/>
      <c r="S456" s="7"/>
      <c r="T456" s="7"/>
      <c r="U456" s="7"/>
    </row>
    <row r="457" spans="1:21" outlineLevel="1">
      <c r="A457" s="7"/>
      <c r="B457" s="7"/>
      <c r="C457" s="7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outlineLevel="1">
      <c r="A458" s="57"/>
      <c r="B458" s="7"/>
      <c r="C458" s="73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3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7"/>
      <c r="P459" s="7"/>
      <c r="Q459" s="7"/>
      <c r="R459" s="7"/>
      <c r="S459" s="7"/>
      <c r="T459" s="7"/>
      <c r="U459" s="7"/>
    </row>
    <row r="460" spans="1:21" outlineLevel="1">
      <c r="A460" s="57"/>
      <c r="B460" s="7"/>
      <c r="C460" s="73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7"/>
      <c r="P460" s="7"/>
      <c r="Q460" s="7"/>
      <c r="R460" s="7"/>
      <c r="S460" s="7"/>
      <c r="T460" s="7"/>
      <c r="U460" s="7"/>
    </row>
    <row r="461" spans="1:21" outlineLevel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outlineLevel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s="106" customFormat="1" ht="18.75" outlineLevel="1">
      <c r="A463" s="104"/>
      <c r="B463" s="105"/>
      <c r="C463" s="105"/>
    </row>
    <row r="464" spans="1:21" s="106" customFormat="1" outlineLevel="1">
      <c r="A464" s="105"/>
      <c r="B464" s="107"/>
      <c r="C464" s="108"/>
      <c r="D464" s="105"/>
      <c r="E464" s="109"/>
    </row>
    <row r="465" spans="1:21" s="106" customFormat="1" outlineLevel="1">
      <c r="A465" s="105"/>
      <c r="B465" s="110"/>
      <c r="C465" s="88"/>
      <c r="D465" s="88"/>
      <c r="E465" s="109"/>
    </row>
    <row r="466" spans="1:21" s="106" customFormat="1" outlineLevel="1">
      <c r="A466" s="105"/>
      <c r="B466" s="88"/>
      <c r="C466" s="109"/>
      <c r="D466" s="88"/>
      <c r="E466" s="110"/>
    </row>
    <row r="467" spans="1:21" s="106" customFormat="1" outlineLevel="1">
      <c r="A467" s="111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</row>
    <row r="468" spans="1:21" s="106" customFormat="1" outlineLevel="1">
      <c r="A468" s="80"/>
      <c r="B468" s="105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79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79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79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78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69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80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113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3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113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113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113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113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 outlineLevel="1">
      <c r="A485" s="113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80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80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80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80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 outlineLevel="1">
      <c r="A492" s="80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82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06" customFormat="1" outlineLevel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ht="13.9" customHeight="1" outlineLevel="1">
      <c r="A495" s="78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16" customFormat="1" outlineLevel="1">
      <c r="A496" s="115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78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 outlineLevel="1">
      <c r="A498" s="79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79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9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06" customFormat="1" outlineLevel="1">
      <c r="A502" s="80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16" customFormat="1" outlineLevel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 outlineLevel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/>
      <c r="B507"/>
      <c r="C507"/>
      <c r="D507"/>
      <c r="E507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06" customFormat="1" outlineLevel="1">
      <c r="A508"/>
      <c r="B508"/>
      <c r="C508"/>
      <c r="D508"/>
      <c r="E508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16" customFormat="1" outlineLevel="1">
      <c r="A509"/>
      <c r="B509"/>
      <c r="C509"/>
      <c r="D509"/>
      <c r="E509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 outlineLevel="1">
      <c r="A510"/>
      <c r="B510"/>
      <c r="C510"/>
      <c r="D510"/>
      <c r="E510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 outlineLevel="1">
      <c r="A511"/>
      <c r="B511"/>
      <c r="C511"/>
      <c r="D511"/>
      <c r="E511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 s="106" customFormat="1" outlineLevel="1">
      <c r="A512"/>
      <c r="B512"/>
      <c r="C512"/>
      <c r="D512"/>
      <c r="E5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</row>
    <row r="513" spans="1:21" s="116" customFormat="1" outlineLevel="1">
      <c r="A513"/>
      <c r="B513"/>
      <c r="C513"/>
      <c r="D513"/>
      <c r="E513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</row>
    <row r="514" spans="1:21" s="106" customFormat="1" outlineLevel="1">
      <c r="A514"/>
      <c r="B514"/>
      <c r="C514"/>
      <c r="D514"/>
      <c r="E514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</row>
    <row r="515" spans="1:21" s="116" customFormat="1" outlineLevel="1">
      <c r="A515"/>
      <c r="B515"/>
      <c r="C515"/>
      <c r="D515"/>
      <c r="E515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</row>
    <row r="516" spans="1:21" s="106" customFormat="1" outlineLevel="1">
      <c r="A516" s="80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</row>
    <row r="517" spans="1:21" s="106" customFormat="1" outlineLevel="1">
      <c r="A517" s="80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</row>
    <row r="518" spans="1:21" s="106" customFormat="1" outlineLevel="1">
      <c r="A518" s="80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</row>
    <row r="519" spans="1:21" outlineLevel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8.75" outlineLevel="1">
      <c r="A522" s="8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5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118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2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2">
      <c r="A527" s="5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2">
      <c r="A530" s="119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2">
      <c r="A532" s="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2">
      <c r="A533" s="5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2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2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2">
      <c r="A537" s="86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2">
      <c r="A538" s="86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2">
      <c r="A539" s="86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2">
      <c r="A541" s="86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2">
      <c r="A542" s="86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2">
      <c r="A543" s="86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2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idden="1" outlineLevel="2">
      <c r="A545" s="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idden="1" outlineLevel="2">
      <c r="A546" s="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idden="1" outlineLevel="2">
      <c r="A547" s="86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idden="1" outlineLevel="2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idden="1" outlineLevel="2">
      <c r="A549" s="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idden="1" outlineLevel="2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idden="1" outlineLevel="2">
      <c r="A551" s="86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outlineLevel="1" collapsed="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outlineLevel="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outlineLevel="1">
      <c r="A554" s="5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outlineLevel="1">
      <c r="A555" s="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outlineLevel="1">
      <c r="A556" s="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outlineLevel="1">
      <c r="A557" s="5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outlineLevel="1">
      <c r="A558" s="5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outlineLevel="1">
      <c r="A559" s="5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outlineLevel="1">
      <c r="A560" s="5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87"/>
      <c r="E561" s="87"/>
      <c r="F561" s="87"/>
      <c r="G561" s="87"/>
      <c r="H561" s="87"/>
      <c r="I561" s="87"/>
      <c r="J561" s="87"/>
      <c r="K561" s="87"/>
      <c r="L561" s="8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87"/>
      <c r="E562" s="87"/>
      <c r="F562" s="87"/>
      <c r="G562" s="87"/>
      <c r="H562" s="87"/>
      <c r="I562" s="87"/>
      <c r="J562" s="87"/>
      <c r="K562" s="87"/>
      <c r="L562" s="8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87"/>
      <c r="E563" s="87"/>
      <c r="F563" s="87"/>
      <c r="G563" s="87"/>
      <c r="H563" s="87"/>
      <c r="I563" s="87"/>
      <c r="J563" s="87"/>
      <c r="K563" s="87"/>
      <c r="L563" s="8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87"/>
      <c r="E564" s="87"/>
      <c r="F564" s="87"/>
      <c r="G564" s="87"/>
      <c r="H564" s="87"/>
      <c r="I564" s="87"/>
      <c r="J564" s="87"/>
      <c r="K564" s="87"/>
      <c r="L564" s="8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87"/>
      <c r="E565" s="87"/>
      <c r="F565" s="87"/>
      <c r="G565" s="87"/>
      <c r="H565" s="87"/>
      <c r="I565" s="87"/>
      <c r="J565" s="87"/>
      <c r="K565" s="87"/>
      <c r="L565" s="8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</sheetData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C774"/>
  <sheetViews>
    <sheetView zoomScale="75" zoomScaleNormal="75" workbookViewId="0"/>
  </sheetViews>
  <sheetFormatPr defaultRowHeight="12.75" outlineLevelRow="2" outlineLevelCol="1"/>
  <cols>
    <col min="1" max="1" width="47.42578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0.57031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94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Brownsville!B5</f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41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886.07793520000007</v>
      </c>
      <c r="AA7" s="470">
        <f>C10+C11</f>
        <v>912.6602732560001</v>
      </c>
      <c r="AB7" s="470">
        <f>D10+D11</f>
        <v>940.04008145368016</v>
      </c>
      <c r="AC7" s="470">
        <f t="shared" ref="AC7:AS7" si="1">E16</f>
        <v>630.58864089729036</v>
      </c>
      <c r="AD7" s="470">
        <f t="shared" si="1"/>
        <v>649.50630012420902</v>
      </c>
      <c r="AE7" s="470">
        <f t="shared" si="1"/>
        <v>668.99148912793532</v>
      </c>
      <c r="AF7" s="470">
        <f t="shared" si="1"/>
        <v>689.06123380177348</v>
      </c>
      <c r="AG7" s="470">
        <f t="shared" si="1"/>
        <v>709.73307081582652</v>
      </c>
      <c r="AH7" s="470">
        <f t="shared" si="1"/>
        <v>731.02506294030138</v>
      </c>
      <c r="AI7" s="470">
        <f t="shared" si="1"/>
        <v>752.95581482851048</v>
      </c>
      <c r="AJ7" s="470">
        <f t="shared" si="1"/>
        <v>775.5444892733658</v>
      </c>
      <c r="AK7" s="470">
        <f t="shared" si="1"/>
        <v>798.81082395156659</v>
      </c>
      <c r="AL7" s="470">
        <f t="shared" si="1"/>
        <v>822.77514867011359</v>
      </c>
      <c r="AM7" s="470">
        <f t="shared" si="1"/>
        <v>847.45840313021711</v>
      </c>
      <c r="AN7" s="470">
        <f t="shared" si="1"/>
        <v>872.88215522412361</v>
      </c>
      <c r="AO7" s="470">
        <f t="shared" si="1"/>
        <v>899.06861988084722</v>
      </c>
      <c r="AP7" s="470">
        <f t="shared" si="1"/>
        <v>926.04067847727265</v>
      </c>
      <c r="AQ7" s="470">
        <f t="shared" si="1"/>
        <v>953.82189883159094</v>
      </c>
      <c r="AR7" s="470">
        <f t="shared" si="1"/>
        <v>982.43655579653853</v>
      </c>
      <c r="AS7" s="470">
        <f t="shared" si="1"/>
        <v>1011.9096524704347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69">
        <v>0</v>
      </c>
      <c r="Z8" s="491">
        <f>B23+B24</f>
        <v>886.07793520000007</v>
      </c>
      <c r="AA8" s="491">
        <f>C23+C24</f>
        <v>912.6602732560001</v>
      </c>
      <c r="AB8" s="491">
        <f>D23+D24</f>
        <v>940.04008145368016</v>
      </c>
      <c r="AC8" s="491">
        <f t="shared" ref="AC8:AS8" si="2">E23+1/3*E24</f>
        <v>630.58864089729036</v>
      </c>
      <c r="AD8" s="491">
        <f t="shared" si="2"/>
        <v>649.50630012420902</v>
      </c>
      <c r="AE8" s="491">
        <f t="shared" si="2"/>
        <v>668.99148912793544</v>
      </c>
      <c r="AF8" s="491">
        <f t="shared" si="2"/>
        <v>689.0612338017736</v>
      </c>
      <c r="AG8" s="491">
        <f t="shared" si="2"/>
        <v>709.73307081582664</v>
      </c>
      <c r="AH8" s="491">
        <f t="shared" si="2"/>
        <v>731.0250629403015</v>
      </c>
      <c r="AI8" s="491">
        <f t="shared" si="2"/>
        <v>752.9558148285106</v>
      </c>
      <c r="AJ8" s="491">
        <f t="shared" si="2"/>
        <v>775.5444892733658</v>
      </c>
      <c r="AK8" s="491">
        <f t="shared" si="2"/>
        <v>798.8108239515667</v>
      </c>
      <c r="AL8" s="491">
        <f t="shared" si="2"/>
        <v>822.77514867011382</v>
      </c>
      <c r="AM8" s="491">
        <f t="shared" si="2"/>
        <v>847.45840313021722</v>
      </c>
      <c r="AN8" s="491">
        <f t="shared" si="2"/>
        <v>872.88215522412372</v>
      </c>
      <c r="AO8" s="491">
        <f t="shared" si="2"/>
        <v>899.06861988084734</v>
      </c>
      <c r="AP8" s="491">
        <f t="shared" si="2"/>
        <v>926.04067847727288</v>
      </c>
      <c r="AQ8" s="491">
        <f t="shared" si="2"/>
        <v>953.82189883159106</v>
      </c>
      <c r="AR8" s="491">
        <f t="shared" si="2"/>
        <v>982.43655579653864</v>
      </c>
      <c r="AS8" s="491">
        <f t="shared" si="2"/>
        <v>1011.9096524704349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Assumption'!C27*12*Assumptions!$E$9</f>
        <v>17808</v>
      </c>
      <c r="C9" s="56">
        <f>'Power Price Assumption'!D27*12*Assumptions!$E$9</f>
        <v>17808</v>
      </c>
      <c r="D9" s="56">
        <f>'Power Price Assumption'!E27*12*Assumptions!$E$9</f>
        <v>17808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53424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Assumptions!E19*Assumptions!E17/1000*(1+Assumptions!$E$25)</f>
        <v>422.57793520000007</v>
      </c>
      <c r="C10" s="56">
        <f>B10*(1+Assumptions!$E$25)</f>
        <v>435.25527325600007</v>
      </c>
      <c r="D10" s="56">
        <f>C10*(1+Assumptions!$E$25)</f>
        <v>448.31293145368011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1306.1461399096802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Assumptions!$E$18*Assumptions!$E$11*Assumptions!$E$8/1000*(1+Assumptions!$E$25)</f>
        <v>463.5</v>
      </c>
      <c r="C11" s="91">
        <f>B11*(1+Assumptions!$E$25)</f>
        <v>477.40500000000003</v>
      </c>
      <c r="D11" s="91">
        <f>C11*(1+Assumptions!$E$25)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Contract'!$C$23/3</f>
        <v>6575.090395756768</v>
      </c>
      <c r="C12" s="127">
        <f>'Amortization of Power Contract'!$C$23/3</f>
        <v>6575.090395756768</v>
      </c>
      <c r="D12" s="127">
        <f>'Amortization of Power Contract'!$C$23/3</f>
        <v>6575.090395756768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19725.271187270304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Assumption'!F27*Assumptions!$E$9*12</f>
        <v>28580.690259731728</v>
      </c>
      <c r="F15" s="19">
        <f>'Power Price Assumption'!G27*Assumptions!$E$9*12</f>
        <v>29997.90319162907</v>
      </c>
      <c r="G15" s="19">
        <f>'Power Price Assumption'!H27*Assumptions!$E$9*12</f>
        <v>30382.587490901788</v>
      </c>
      <c r="H15" s="19">
        <f>'Power Price Assumption'!I27*Assumptions!$E$9*12</f>
        <v>30772.204868635425</v>
      </c>
      <c r="I15" s="19">
        <f>'Power Price Assumption'!J27*Assumptions!$E$9*12</f>
        <v>31166.818585179157</v>
      </c>
      <c r="J15" s="19">
        <f>'Power Price Assumption'!K27*Assumptions!$E$9*12</f>
        <v>31566.492712114316</v>
      </c>
      <c r="K15" s="19">
        <f>'Power Price Assumption'!L27*Assumptions!$E$9*12</f>
        <v>31971.292142657378</v>
      </c>
      <c r="L15" s="19">
        <f>'Power Price Assumption'!M27*Assumptions!$E$9*12</f>
        <v>32576.257894258524</v>
      </c>
      <c r="M15" s="19">
        <f>'Power Price Assumption'!N27*Assumptions!$E$9*12</f>
        <v>33192.670901697107</v>
      </c>
      <c r="N15" s="19">
        <f>'Power Price Assumption'!O27*Assumptions!$E$9*12</f>
        <v>33820.747771724593</v>
      </c>
      <c r="O15" s="19">
        <f>'Power Price Assumption'!P27*Assumptions!$E$9*12</f>
        <v>34460.709209759014</v>
      </c>
      <c r="P15" s="19">
        <f>'Power Price Assumption'!Q27*Assumptions!$E$9*12</f>
        <v>35112.780097440627</v>
      </c>
      <c r="Q15" s="19">
        <f>'Power Price Assumption'!R27*Assumptions!$E$9*12</f>
        <v>35613.748729049599</v>
      </c>
      <c r="R15" s="19">
        <f>'Power Price Assumption'!S27*Assumptions!$E$9*12</f>
        <v>36121.864888400887</v>
      </c>
      <c r="S15" s="19">
        <f>'Power Price Assumption'!T27*Assumptions!$E$9*12</f>
        <v>36637.230552244335</v>
      </c>
      <c r="T15" s="19">
        <f>'Power Price Assumption'!U27*Assumptions!$E$9*12</f>
        <v>37159.949152274457</v>
      </c>
      <c r="U15" s="19">
        <f>'Power Price Assumption'!V27*Assumptions!$E$9*12</f>
        <v>37690.125595888836</v>
      </c>
      <c r="W15" s="91">
        <f>SUM(B15:U15)</f>
        <v>566824.07404358685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1/3*Assumptions!$E$18*Assumptions!$E$11*Assumptions!$E$8/1000*(1+Assumptions!$E$25)^(E5-2000)+Assumptions!$E$19*Assumptions!$E$17*(1+Assumptions!$E$25)^(E5-2000)/1000</f>
        <v>630.58864089729036</v>
      </c>
      <c r="F16" s="127">
        <f>1/3*Assumptions!$E$18*Assumptions!$E$11*Assumptions!$E$8/1000*(1+Assumptions!$E$25)^(F5-2000)+Assumptions!$E$19*Assumptions!$E$17*(1+Assumptions!$E$25)^(F5-2000)/1000</f>
        <v>649.50630012420902</v>
      </c>
      <c r="G16" s="127">
        <f>1/3*Assumptions!$E$18*Assumptions!$E$11*Assumptions!$E$8/1000*(1+Assumptions!$E$25)^(G5-2000)+Assumptions!$E$19*Assumptions!$E$17*(1+Assumptions!$E$25)^(G5-2000)/1000</f>
        <v>668.99148912793532</v>
      </c>
      <c r="H16" s="127">
        <f>1/3*Assumptions!$E$18*Assumptions!$E$11*Assumptions!$E$8/1000*(1+Assumptions!$E$25)^(H5-2000)+Assumptions!$E$19*Assumptions!$E$17*(1+Assumptions!$E$25)^(H5-2000)/1000</f>
        <v>689.06123380177348</v>
      </c>
      <c r="I16" s="127">
        <f>1/3*Assumptions!$E$18*Assumptions!$E$11*Assumptions!$E$8/1000*(1+Assumptions!$E$25)^(I5-2000)+Assumptions!$E$19*Assumptions!$E$17*(1+Assumptions!$E$25)^(I5-2000)/1000</f>
        <v>709.73307081582652</v>
      </c>
      <c r="J16" s="127">
        <f>1/3*Assumptions!$E$18*Assumptions!$E$11*Assumptions!$E$8/1000*(1+Assumptions!$E$25)^(J5-2000)+Assumptions!$E$19*Assumptions!$E$17*(1+Assumptions!$E$25)^(J5-2000)/1000</f>
        <v>731.02506294030138</v>
      </c>
      <c r="K16" s="127">
        <f>1/3*Assumptions!$E$18*Assumptions!$E$11*Assumptions!$E$8/1000*(1+Assumptions!$E$25)^(K5-2000)+Assumptions!$E$19*Assumptions!$E$17*(1+Assumptions!$E$25)^(K5-2000)/1000</f>
        <v>752.95581482851048</v>
      </c>
      <c r="L16" s="127">
        <f>1/3*Assumptions!$E$18*Assumptions!$E$11*Assumptions!$E$8/1000*(1+Assumptions!$E$25)^(L5-2000)+Assumptions!$E$19*Assumptions!$E$17*(1+Assumptions!$E$25)^(L5-2000)/1000</f>
        <v>775.5444892733658</v>
      </c>
      <c r="M16" s="127">
        <f>1/3*Assumptions!$E$18*Assumptions!$E$11*Assumptions!$E$8/1000*(1+Assumptions!$E$25)^(M5-2000)+Assumptions!$E$19*Assumptions!$E$17*(1+Assumptions!$E$25)^(M5-2000)/1000</f>
        <v>798.81082395156659</v>
      </c>
      <c r="N16" s="127">
        <f>1/3*Assumptions!$E$18*Assumptions!$E$11*Assumptions!$E$8/1000*(1+Assumptions!$E$25)^(N5-2000)+Assumptions!$E$19*Assumptions!$E$17*(1+Assumptions!$E$25)^(N5-2000)/1000</f>
        <v>822.77514867011359</v>
      </c>
      <c r="O16" s="127">
        <f>1/3*Assumptions!$E$18*Assumptions!$E$11*Assumptions!$E$8/1000*(1+Assumptions!$E$25)^(O5-2000)+Assumptions!$E$19*Assumptions!$E$17*(1+Assumptions!$E$25)^(O5-2000)/1000</f>
        <v>847.45840313021711</v>
      </c>
      <c r="P16" s="127">
        <f>1/3*Assumptions!$E$18*Assumptions!$E$11*Assumptions!$E$8/1000*(1+Assumptions!$E$25)^(P5-2000)+Assumptions!$E$19*Assumptions!$E$17*(1+Assumptions!$E$25)^(P5-2000)/1000</f>
        <v>872.88215522412361</v>
      </c>
      <c r="Q16" s="127">
        <f>1/3*Assumptions!$E$18*Assumptions!$E$11*Assumptions!$E$8/1000*(1+Assumptions!$E$25)^(Q5-2000)+Assumptions!$E$19*Assumptions!$E$17*(1+Assumptions!$E$25)^(Q5-2000)/1000</f>
        <v>899.06861988084722</v>
      </c>
      <c r="R16" s="127">
        <f>1/3*Assumptions!$E$18*Assumptions!$E$11*Assumptions!$E$8/1000*(1+Assumptions!$E$25)^(R5-2000)+Assumptions!$E$19*Assumptions!$E$17*(1+Assumptions!$E$25)^(R5-2000)/1000</f>
        <v>926.04067847727265</v>
      </c>
      <c r="S16" s="127">
        <f>1/3*Assumptions!$E$18*Assumptions!$E$11*Assumptions!$E$8/1000*(1+Assumptions!$E$25)^(S5-2000)+Assumptions!$E$19*Assumptions!$E$17*(1+Assumptions!$E$25)^(S5-2000)/1000</f>
        <v>953.82189883159094</v>
      </c>
      <c r="T16" s="127">
        <f>1/3*Assumptions!$E$18*Assumptions!$E$11*Assumptions!$E$8/1000*(1+Assumptions!$E$25)^(T5-2000)+Assumptions!$E$19*Assumptions!$E$17*(1+Assumptions!$E$25)^(T5-2000)/1000</f>
        <v>982.43655579653853</v>
      </c>
      <c r="U16" s="127">
        <f>1/3*Assumptions!$E$18*Assumptions!$E$11*Assumptions!$E$8/1000*(1+Assumptions!$E$25)^(U5-2000)+Assumptions!$E$19*Assumptions!$E$17*(1+Assumptions!$E$25)^(U5-2000)/1000</f>
        <v>1011.9096524704347</v>
      </c>
      <c r="W16" s="91">
        <f>SUM(B16:U16)</f>
        <v>13722.610038241919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182.41486702980825</v>
      </c>
      <c r="C18" s="198">
        <f>(SUM(C9:C11)-SUM(C22:C27))*'Summary Output'!$B$29/4</f>
        <v>181.70325336228831</v>
      </c>
      <c r="D18" s="198">
        <f>(SUM(D9:D11)-SUM(D22:D27))*'Summary Output'!$B$29/4</f>
        <v>180.97488075606495</v>
      </c>
      <c r="E18" s="198">
        <f>(SUM(E9:E16)-SUM(E22:E27))*'Summary Output'!$B$29/4</f>
        <v>310.9097906582931</v>
      </c>
      <c r="F18" s="198">
        <f>(SUM(F9:F16)-SUM(F22:F27))*'Summary Output'!$B$29/4</f>
        <v>328.0001163843861</v>
      </c>
      <c r="G18" s="198">
        <f>(SUM(G9:G16)-SUM(G22:G27))*'Summary Output'!$B$29/4</f>
        <v>332.24580788496871</v>
      </c>
      <c r="H18" s="198">
        <f>(SUM(H9:H16)-SUM(H22:H27))*'Summary Output'!$B$29/4</f>
        <v>336.54197064328559</v>
      </c>
      <c r="I18" s="198">
        <f>(SUM(I9:I16)-SUM(I22:I27))*'Summary Output'!$B$29/4</f>
        <v>340.86805289202903</v>
      </c>
      <c r="J18" s="198">
        <f>(SUM(J9:J16)-SUM(J22:J27))*'Summary Output'!$B$29/4</f>
        <v>345.39512439180288</v>
      </c>
      <c r="K18" s="198">
        <f>(SUM(K9:K16)-SUM(K22:K27))*'Summary Output'!$B$29/4</f>
        <v>343.01238375031102</v>
      </c>
      <c r="L18" s="198">
        <f>(SUM(L9:L16)-SUM(L22:L27))*'Summary Output'!$B$29/4</f>
        <v>351.81069133089045</v>
      </c>
      <c r="M18" s="198">
        <f>(SUM(M9:M16)-SUM(M22:M27))*'Summary Output'!$B$29/4</f>
        <v>360.94406045223815</v>
      </c>
      <c r="N18" s="198">
        <f>(SUM(N9:N16)-SUM(N22:N27))*'Summary Output'!$B$29/4</f>
        <v>369.27263103288283</v>
      </c>
      <c r="O18" s="198">
        <f>(SUM(O9:O16)-SUM(O22:O27))*'Summary Output'!$B$29/4</f>
        <v>376.11236735512153</v>
      </c>
      <c r="P18" s="198">
        <f>(SUM(P9:P16)-SUM(P22:P27))*'Summary Output'!$B$29/4</f>
        <v>383.06233479171567</v>
      </c>
      <c r="Q18" s="198">
        <f>(SUM(Q9:Q16)-SUM(Q22:Q27))*'Summary Output'!$B$29/4</f>
        <v>388.02289486212726</v>
      </c>
      <c r="R18" s="198">
        <f>(SUM(R9:R16)-SUM(R22:R27))*'Summary Output'!$B$29/4</f>
        <v>392.97155253108627</v>
      </c>
      <c r="S18" s="198">
        <f>(SUM(S9:S16)-SUM(S22:S27))*'Summary Output'!$B$29/4</f>
        <v>397.96479181455675</v>
      </c>
      <c r="T18" s="198">
        <f>(SUM(T9:T16)-SUM(T22:T27))*'Summary Output'!$B$29/4</f>
        <v>403.00250164157535</v>
      </c>
      <c r="U18" s="198">
        <f>(SUM(U9:U16)-SUM(U22:U27))*'Summary Output'!$B$29/4</f>
        <v>408.08454957082733</v>
      </c>
      <c r="W18" s="91">
        <f>SUM(B18:U18)</f>
        <v>6713.3146231362607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25451.583197986576</v>
      </c>
      <c r="C19" s="56">
        <f t="shared" ref="C19:U19" si="4">SUM(C9:C18)</f>
        <v>25477.453922375054</v>
      </c>
      <c r="D19" s="56">
        <f t="shared" si="4"/>
        <v>25504.105357966513</v>
      </c>
      <c r="E19" s="56">
        <f t="shared" si="4"/>
        <v>29522.188691287312</v>
      </c>
      <c r="F19" s="56">
        <f t="shared" si="4"/>
        <v>30975.409608137663</v>
      </c>
      <c r="G19" s="56">
        <f t="shared" si="4"/>
        <v>31383.824787914695</v>
      </c>
      <c r="H19" s="56">
        <f t="shared" si="4"/>
        <v>31797.808073080483</v>
      </c>
      <c r="I19" s="56">
        <f t="shared" si="4"/>
        <v>32217.419708887013</v>
      </c>
      <c r="J19" s="56">
        <f t="shared" si="4"/>
        <v>32642.912899446419</v>
      </c>
      <c r="K19" s="56">
        <f t="shared" si="4"/>
        <v>33067.2603412362</v>
      </c>
      <c r="L19" s="56">
        <f t="shared" si="4"/>
        <v>33703.613074862777</v>
      </c>
      <c r="M19" s="56">
        <f t="shared" si="4"/>
        <v>34352.42578610091</v>
      </c>
      <c r="N19" s="56">
        <f t="shared" si="4"/>
        <v>35012.795551427589</v>
      </c>
      <c r="O19" s="56">
        <f t="shared" si="4"/>
        <v>35684.279980244348</v>
      </c>
      <c r="P19" s="56">
        <f t="shared" si="4"/>
        <v>36368.724587456461</v>
      </c>
      <c r="Q19" s="56">
        <f t="shared" si="4"/>
        <v>36900.840243792576</v>
      </c>
      <c r="R19" s="56">
        <f t="shared" si="4"/>
        <v>37440.877119409248</v>
      </c>
      <c r="S19" s="56">
        <f t="shared" si="4"/>
        <v>37989.017242890484</v>
      </c>
      <c r="T19" s="56">
        <f t="shared" si="4"/>
        <v>38545.388209712568</v>
      </c>
      <c r="U19" s="56">
        <f t="shared" si="4"/>
        <v>39110.1197979301</v>
      </c>
      <c r="W19" s="91">
        <f>SUM(B19:U19)</f>
        <v>663148.04818214499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Assumptions!E28*(1+Assumptions!$E$25)</f>
        <v>1934.4085877000002</v>
      </c>
      <c r="C22" s="127">
        <f>B22*(1+Assumptions!$E$25)</f>
        <v>1992.4408453310002</v>
      </c>
      <c r="D22" s="127">
        <f>C22*(1+Assumptions!$E$25)</f>
        <v>2052.2140706909304</v>
      </c>
      <c r="E22" s="127">
        <f>D22*(1+Assumptions!$E$25)</f>
        <v>2113.7804928116584</v>
      </c>
      <c r="F22" s="127">
        <f>E22*(1+Assumptions!$E$25)</f>
        <v>2177.1939075960081</v>
      </c>
      <c r="G22" s="127">
        <f>F22*(1+Assumptions!$E$25)</f>
        <v>2242.5097248238885</v>
      </c>
      <c r="H22" s="127">
        <f>G22*(1+Assumptions!$E$25)</f>
        <v>2309.7850165686054</v>
      </c>
      <c r="I22" s="127">
        <f>H22*(1+Assumptions!$E$25)</f>
        <v>2379.0785670656637</v>
      </c>
      <c r="J22" s="127">
        <f>I22*(1+Assumptions!$E$25)</f>
        <v>2450.4509240776338</v>
      </c>
      <c r="K22" s="127">
        <f>J22*(1+Assumptions!$E$25)</f>
        <v>2523.9644517999627</v>
      </c>
      <c r="L22" s="127">
        <f>K22*(1+Assumptions!$E$25)</f>
        <v>2599.6833853539615</v>
      </c>
      <c r="M22" s="127">
        <f>L22*(1+Assumptions!$E$25)</f>
        <v>2677.6738869145806</v>
      </c>
      <c r="N22" s="127">
        <f>M22*(1+Assumptions!$E$25)</f>
        <v>2758.0041035220183</v>
      </c>
      <c r="O22" s="127">
        <f>N22*(1+Assumptions!$E$25)</f>
        <v>2840.7442266276789</v>
      </c>
      <c r="P22" s="127">
        <f>O22*(1+Assumptions!$E$25)</f>
        <v>2925.9665534265096</v>
      </c>
      <c r="Q22" s="127">
        <f>P22*(1+Assumptions!$E$25)</f>
        <v>3013.7455500293049</v>
      </c>
      <c r="R22" s="127">
        <f>Q22*(1+Assumptions!$E$25)</f>
        <v>3104.1579165301841</v>
      </c>
      <c r="S22" s="127">
        <f>R22*(1+Assumptions!$E$25)</f>
        <v>3197.2826540260899</v>
      </c>
      <c r="T22" s="127">
        <f>S22*(1+Assumptions!$E$25)</f>
        <v>3293.2011336468727</v>
      </c>
      <c r="U22" s="127">
        <f>T22*(1+Assumptions!$E$25)</f>
        <v>3391.9971676562791</v>
      </c>
      <c r="W22" s="91">
        <f t="shared" ref="W22:W28" si="5">SUM(B22:U22)</f>
        <v>51978.283166198824</v>
      </c>
    </row>
    <row r="23" spans="1:55">
      <c r="A23" s="3" t="s">
        <v>49</v>
      </c>
      <c r="B23" s="127">
        <f>Assumptions!$E$29*(1+Assumptions!$E$25)</f>
        <v>422.57793520000007</v>
      </c>
      <c r="C23" s="127">
        <f>B23*(1+Assumptions!$E$25)</f>
        <v>435.25527325600007</v>
      </c>
      <c r="D23" s="127">
        <f>C23*(1+Assumptions!$E$25)</f>
        <v>448.31293145368011</v>
      </c>
      <c r="E23" s="127">
        <f>Assumptions!$E$19*Assumptions!$E$23*(1+Assumptions!$E$25)^(E5-2000)/1000</f>
        <v>461.76231939729041</v>
      </c>
      <c r="F23" s="127">
        <f>Assumptions!$E$19*Assumptions!$E$23*(1+Assumptions!$E$25)^(F5-2000)/1000</f>
        <v>475.61518897920905</v>
      </c>
      <c r="G23" s="127">
        <f>Assumptions!$E$19*Assumptions!$E$23*(1+Assumptions!$E$25)^(G5-2000)/1000</f>
        <v>489.88364464858535</v>
      </c>
      <c r="H23" s="127">
        <f>Assumptions!$E$19*Assumptions!$E$23*(1+Assumptions!$E$25)^(H5-2000)/1000</f>
        <v>504.58015398804298</v>
      </c>
      <c r="I23" s="127">
        <f>Assumptions!$E$19*Assumptions!$E$23*(1+Assumptions!$E$25)^(I5-2000)/1000</f>
        <v>519.71755860768417</v>
      </c>
      <c r="J23" s="127">
        <f>Assumptions!$E$19*Assumptions!$E$23*(1+Assumptions!$E$25)^(J5-2000)/1000</f>
        <v>535.30908536591471</v>
      </c>
      <c r="K23" s="127">
        <f>Assumptions!$E$19*Assumptions!$E$23*(1+Assumptions!$E$25)^(K5-2000)/1000</f>
        <v>551.36835792689226</v>
      </c>
      <c r="L23" s="127">
        <f>Assumptions!$E$19*Assumptions!$E$23*(1+Assumptions!$E$25)^(L5-2000)/1000</f>
        <v>567.90940866469896</v>
      </c>
      <c r="M23" s="127">
        <f>Assumptions!$E$19*Assumptions!$E$23*(1+Assumptions!$E$25)^(M5-2000)/1000</f>
        <v>584.94669092463982</v>
      </c>
      <c r="N23" s="127">
        <f>Assumptions!$E$19*Assumptions!$E$23*(1+Assumptions!$E$25)^(N5-2000)/1000</f>
        <v>602.49509165237907</v>
      </c>
      <c r="O23" s="127">
        <f>Assumptions!$E$19*Assumptions!$E$23*(1+Assumptions!$E$25)^(O5-2000)/1000</f>
        <v>620.56994440195047</v>
      </c>
      <c r="P23" s="127">
        <f>Assumptions!$E$19*Assumptions!$E$23*(1+Assumptions!$E$25)^(P5-2000)/1000</f>
        <v>639.18704273400897</v>
      </c>
      <c r="Q23" s="127">
        <f>Assumptions!$E$19*Assumptions!$E$23*(1+Assumptions!$E$25)^(Q5-2000)/1000</f>
        <v>658.36265401602918</v>
      </c>
      <c r="R23" s="127">
        <f>Assumptions!$E$19*Assumptions!$E$23*(1+Assumptions!$E$25)^(R5-2000)/1000</f>
        <v>678.11353363651006</v>
      </c>
      <c r="S23" s="127">
        <f>Assumptions!$E$19*Assumptions!$E$23*(1+Assumptions!$E$25)^(S5-2000)/1000</f>
        <v>698.45693964560542</v>
      </c>
      <c r="T23" s="127">
        <f>Assumptions!$E$19*Assumptions!$E$23*(1+Assumptions!$E$25)^(T5-2000)/1000</f>
        <v>719.41064783497347</v>
      </c>
      <c r="U23" s="127">
        <f>Assumptions!$E$19*Assumptions!$E$23*(1+Assumptions!$E$25)^(U5-2000)/1000</f>
        <v>740.99296727002275</v>
      </c>
      <c r="W23" s="91">
        <f t="shared" si="5"/>
        <v>11354.827369604114</v>
      </c>
    </row>
    <row r="24" spans="1:55">
      <c r="A24" s="3" t="s">
        <v>256</v>
      </c>
      <c r="B24" s="127">
        <f>Assumptions!$E$24*Assumptions!$E$11*Assumptions!$E$8/1000*(1+Assumptions!$E$25)</f>
        <v>463.5</v>
      </c>
      <c r="C24" s="91">
        <f>B24*(1+Assumptions!$E$25)</f>
        <v>477.40500000000003</v>
      </c>
      <c r="D24" s="91">
        <f>C24*(1+Assumptions!$E$25)</f>
        <v>491.72715000000005</v>
      </c>
      <c r="E24" s="91">
        <f>D24*(1+Assumptions!$E$25)</f>
        <v>506.47896450000007</v>
      </c>
      <c r="F24" s="91">
        <f>E24*(1+Assumptions!$E$25)</f>
        <v>521.67333343500013</v>
      </c>
      <c r="G24" s="91">
        <f>F24*(1+Assumptions!$E$25)</f>
        <v>537.32353343805016</v>
      </c>
      <c r="H24" s="91">
        <f>G24*(1+Assumptions!$E$25)</f>
        <v>553.44323944119174</v>
      </c>
      <c r="I24" s="91">
        <f>H24*(1+Assumptions!$E$25)</f>
        <v>570.04653662442752</v>
      </c>
      <c r="J24" s="91">
        <f>I24*(1+Assumptions!$E$25)</f>
        <v>587.14793272316035</v>
      </c>
      <c r="K24" s="91">
        <f>J24*(1+Assumptions!$E$25)</f>
        <v>604.76237070485513</v>
      </c>
      <c r="L24" s="91">
        <f>K24*(1+Assumptions!$E$25)</f>
        <v>622.90524182600075</v>
      </c>
      <c r="M24" s="91">
        <f>L24*(1+Assumptions!$E$25)</f>
        <v>641.59239908078075</v>
      </c>
      <c r="N24" s="91">
        <f>M24*(1+Assumptions!$E$25)</f>
        <v>660.84017105320424</v>
      </c>
      <c r="O24" s="91">
        <f>N24*(1+Assumptions!$E$25)</f>
        <v>680.66537618480038</v>
      </c>
      <c r="P24" s="91">
        <f>O24*(1+Assumptions!$E$25)</f>
        <v>701.08533747034437</v>
      </c>
      <c r="Q24" s="91">
        <f>P24*(1+Assumptions!$E$25)</f>
        <v>722.11789759445469</v>
      </c>
      <c r="R24" s="91">
        <f>Q24*(1+Assumptions!$E$25)</f>
        <v>743.78143452228835</v>
      </c>
      <c r="S24" s="91">
        <f>R24*(1+Assumptions!$E$25)</f>
        <v>766.09487755795703</v>
      </c>
      <c r="T24" s="91">
        <f>S24*(1+Assumptions!$E$25)</f>
        <v>789.07772388469573</v>
      </c>
      <c r="U24" s="91">
        <f>T24*(1+Assumptions!$E$25)</f>
        <v>812.75005560123657</v>
      </c>
      <c r="W24" s="91">
        <f t="shared" si="5"/>
        <v>12454.418575642445</v>
      </c>
    </row>
    <row r="25" spans="1:55">
      <c r="A25" s="3" t="s">
        <v>112</v>
      </c>
      <c r="B25" s="127">
        <f>Assumptions!E31*(1+Assumptions!$E$25)</f>
        <v>373.5523316666667</v>
      </c>
      <c r="C25" s="127">
        <f>B25*(1+Assumptions!$E$25)</f>
        <v>384.75890161666672</v>
      </c>
      <c r="D25" s="127">
        <f>C25*(1+Assumptions!$E$25)</f>
        <v>396.30166866516674</v>
      </c>
      <c r="E25" s="127">
        <f>D25*(1+Assumptions!$E$25)</f>
        <v>408.19071872512177</v>
      </c>
      <c r="F25" s="127">
        <f>E25*(1+Assumptions!$E$25)</f>
        <v>420.43644028687544</v>
      </c>
      <c r="G25" s="127">
        <f>F25*(1+Assumptions!$E$25)</f>
        <v>433.04953349548174</v>
      </c>
      <c r="H25" s="127">
        <f>G25*(1+Assumptions!$E$25)</f>
        <v>446.04101950034618</v>
      </c>
      <c r="I25" s="127">
        <f>H25*(1+Assumptions!$E$25)</f>
        <v>459.42225008535655</v>
      </c>
      <c r="J25" s="127">
        <f>I25*(1+Assumptions!$E$25)</f>
        <v>473.20491758791724</v>
      </c>
      <c r="K25" s="127">
        <f>J25*(1+Assumptions!$E$25)</f>
        <v>487.40106511555479</v>
      </c>
      <c r="L25" s="127">
        <f>K25*(1+Assumptions!$E$25)</f>
        <v>502.02309706902145</v>
      </c>
      <c r="M25" s="127">
        <f>L25*(1+Assumptions!$E$25)</f>
        <v>517.08378998109208</v>
      </c>
      <c r="N25" s="127">
        <f>M25*(1+Assumptions!$E$25)</f>
        <v>532.5963036805249</v>
      </c>
      <c r="O25" s="127">
        <f>N25*(1+Assumptions!$E$25)</f>
        <v>548.57419279094063</v>
      </c>
      <c r="P25" s="127">
        <f>O25*(1+Assumptions!$E$25)</f>
        <v>565.03141857466881</v>
      </c>
      <c r="Q25" s="127">
        <f>P25*(1+Assumptions!$E$25)</f>
        <v>581.98236113190887</v>
      </c>
      <c r="R25" s="127">
        <f>Q25*(1+Assumptions!$E$25)</f>
        <v>599.44183196586619</v>
      </c>
      <c r="S25" s="127">
        <f>R25*(1+Assumptions!$E$25)</f>
        <v>617.42508692484216</v>
      </c>
      <c r="T25" s="127">
        <f>S25*(1+Assumptions!$E$25)</f>
        <v>635.94783953258741</v>
      </c>
      <c r="U25" s="127">
        <f>T25*(1+Assumptions!$E$25)</f>
        <v>655.02627471856499</v>
      </c>
      <c r="W25" s="91">
        <f t="shared" si="5"/>
        <v>10037.491043115171</v>
      </c>
    </row>
    <row r="26" spans="1:55">
      <c r="A26" s="3" t="s">
        <v>195</v>
      </c>
      <c r="B26" s="456">
        <v>487.9</v>
      </c>
      <c r="C26" s="456">
        <v>486.5</v>
      </c>
      <c r="D26" s="456">
        <v>484.5</v>
      </c>
      <c r="E26" s="456">
        <v>476.4</v>
      </c>
      <c r="F26" s="456">
        <v>467.3</v>
      </c>
      <c r="G26" s="456">
        <v>451.3</v>
      </c>
      <c r="H26" s="456">
        <v>427.8</v>
      </c>
      <c r="I26" s="456">
        <v>402.5</v>
      </c>
      <c r="J26" s="456">
        <v>362.4</v>
      </c>
      <c r="K26" s="456">
        <v>878.3</v>
      </c>
      <c r="L26" s="456">
        <v>695.3</v>
      </c>
      <c r="M26" s="456">
        <v>494</v>
      </c>
      <c r="N26" s="456">
        <v>365.9</v>
      </c>
      <c r="O26" s="456">
        <v>365.9</v>
      </c>
      <c r="P26" s="456">
        <v>365.9</v>
      </c>
      <c r="Q26" s="456">
        <v>365.9</v>
      </c>
      <c r="R26" s="456">
        <v>365.9</v>
      </c>
      <c r="S26" s="456">
        <v>365.9</v>
      </c>
      <c r="T26" s="456">
        <v>365.9</v>
      </c>
      <c r="U26" s="456">
        <f>T26</f>
        <v>365.9</v>
      </c>
      <c r="W26" s="91">
        <f t="shared" si="5"/>
        <v>9041.3999999999978</v>
      </c>
    </row>
    <row r="27" spans="1:55" s="16" customFormat="1">
      <c r="A27" s="3" t="s">
        <v>185</v>
      </c>
      <c r="B27" s="146">
        <f>B81</f>
        <v>418.94971824867361</v>
      </c>
      <c r="C27" s="146">
        <f t="shared" ref="C27:U27" si="6">C81</f>
        <v>408.03998406926826</v>
      </c>
      <c r="D27" s="146">
        <f t="shared" si="6"/>
        <v>396.99380015870872</v>
      </c>
      <c r="E27" s="146">
        <f t="shared" si="6"/>
        <v>371.88315253150199</v>
      </c>
      <c r="F27" s="146">
        <f t="shared" si="6"/>
        <v>345.18131070529819</v>
      </c>
      <c r="G27" s="146">
        <f t="shared" si="6"/>
        <v>317.84791282622285</v>
      </c>
      <c r="H27" s="146">
        <f t="shared" si="6"/>
        <v>296.25902147616898</v>
      </c>
      <c r="I27" s="146">
        <f t="shared" si="6"/>
        <v>276.34251224953175</v>
      </c>
      <c r="J27" s="146">
        <f t="shared" si="6"/>
        <v>257.39496395576282</v>
      </c>
      <c r="K27" s="146">
        <f t="shared" si="6"/>
        <v>237.46101191374248</v>
      </c>
      <c r="L27" s="146">
        <f t="shared" si="6"/>
        <v>219.12594414697514</v>
      </c>
      <c r="M27" s="146">
        <f t="shared" si="6"/>
        <v>200.66012256852613</v>
      </c>
      <c r="N27" s="146">
        <f t="shared" si="6"/>
        <v>181.87676785595897</v>
      </c>
      <c r="O27" s="146">
        <f t="shared" si="6"/>
        <v>162.7244844741364</v>
      </c>
      <c r="P27" s="146">
        <f t="shared" si="6"/>
        <v>143.50511712196433</v>
      </c>
      <c r="Q27" s="146">
        <f t="shared" si="6"/>
        <v>128.87729718856991</v>
      </c>
      <c r="R27" s="146">
        <f t="shared" si="6"/>
        <v>118.78664773640924</v>
      </c>
      <c r="S27" s="146">
        <f t="shared" si="6"/>
        <v>108.70954775689404</v>
      </c>
      <c r="T27" s="146">
        <f t="shared" si="6"/>
        <v>98.648231845838936</v>
      </c>
      <c r="U27" s="146">
        <f t="shared" si="6"/>
        <v>88.604817446982196</v>
      </c>
      <c r="V27" s="91"/>
      <c r="W27" s="91">
        <f t="shared" si="5"/>
        <v>4777.8723662771363</v>
      </c>
    </row>
    <row r="28" spans="1:55">
      <c r="A28" s="3" t="s">
        <v>62</v>
      </c>
      <c r="B28" s="127">
        <f t="shared" ref="B28:U28" si="7">SUM(B22:B27)</f>
        <v>4100.8885728153409</v>
      </c>
      <c r="C28" s="127">
        <f t="shared" si="7"/>
        <v>4184.4000042729358</v>
      </c>
      <c r="D28" s="127">
        <f t="shared" si="7"/>
        <v>4270.0496209684861</v>
      </c>
      <c r="E28" s="127">
        <f t="shared" si="7"/>
        <v>4338.495647965573</v>
      </c>
      <c r="F28" s="127">
        <f t="shared" si="7"/>
        <v>4407.400181002391</v>
      </c>
      <c r="G28" s="127">
        <f t="shared" si="7"/>
        <v>4471.9143492322282</v>
      </c>
      <c r="H28" s="127">
        <f t="shared" si="7"/>
        <v>4537.9084509743552</v>
      </c>
      <c r="I28" s="127">
        <f t="shared" si="7"/>
        <v>4607.1074246326643</v>
      </c>
      <c r="J28" s="127">
        <f t="shared" si="7"/>
        <v>4665.9078237103895</v>
      </c>
      <c r="K28" s="127">
        <f t="shared" si="7"/>
        <v>5283.2572574610076</v>
      </c>
      <c r="L28" s="127">
        <f t="shared" si="7"/>
        <v>5206.9470770606586</v>
      </c>
      <c r="M28" s="127">
        <f t="shared" si="7"/>
        <v>5115.9568894696195</v>
      </c>
      <c r="N28" s="127">
        <f t="shared" si="7"/>
        <v>5101.7124377640848</v>
      </c>
      <c r="O28" s="127">
        <f t="shared" si="7"/>
        <v>5219.1782244795058</v>
      </c>
      <c r="P28" s="127">
        <f t="shared" si="7"/>
        <v>5340.675469327497</v>
      </c>
      <c r="Q28" s="127">
        <f t="shared" si="7"/>
        <v>5470.9857599602674</v>
      </c>
      <c r="R28" s="127">
        <f t="shared" si="7"/>
        <v>5610.1813643912583</v>
      </c>
      <c r="S28" s="127">
        <f t="shared" si="7"/>
        <v>5753.8691059113871</v>
      </c>
      <c r="T28" s="127">
        <f t="shared" si="7"/>
        <v>5902.1855767449688</v>
      </c>
      <c r="U28" s="127">
        <f t="shared" si="7"/>
        <v>6055.2712826930856</v>
      </c>
      <c r="W28" s="91">
        <f t="shared" si="5"/>
        <v>99644.292520837713</v>
      </c>
    </row>
    <row r="29" spans="1:55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20">
        <f t="shared" ref="B31:U31" si="8">B19-B28</f>
        <v>21350.694625171236</v>
      </c>
      <c r="C31" s="120">
        <f t="shared" si="8"/>
        <v>21293.053918102119</v>
      </c>
      <c r="D31" s="120">
        <f t="shared" si="8"/>
        <v>21234.055736998027</v>
      </c>
      <c r="E31" s="120">
        <f t="shared" si="8"/>
        <v>25183.693043321739</v>
      </c>
      <c r="F31" s="120">
        <f t="shared" si="8"/>
        <v>26568.009427135272</v>
      </c>
      <c r="G31" s="120">
        <f t="shared" si="8"/>
        <v>26911.910438682466</v>
      </c>
      <c r="H31" s="120">
        <f t="shared" si="8"/>
        <v>27259.899622106128</v>
      </c>
      <c r="I31" s="120">
        <f t="shared" si="8"/>
        <v>27610.312284254349</v>
      </c>
      <c r="J31" s="120">
        <f t="shared" si="8"/>
        <v>27977.00507573603</v>
      </c>
      <c r="K31" s="120">
        <f t="shared" si="8"/>
        <v>27784.003083775191</v>
      </c>
      <c r="L31" s="120">
        <f t="shared" si="8"/>
        <v>28496.66599780212</v>
      </c>
      <c r="M31" s="120">
        <f t="shared" si="8"/>
        <v>29236.46889663129</v>
      </c>
      <c r="N31" s="120">
        <f t="shared" si="8"/>
        <v>29911.083113663502</v>
      </c>
      <c r="O31" s="120">
        <f t="shared" si="8"/>
        <v>30465.101755764841</v>
      </c>
      <c r="P31" s="120">
        <f t="shared" si="8"/>
        <v>31028.049118128965</v>
      </c>
      <c r="Q31" s="120">
        <f t="shared" si="8"/>
        <v>31429.854483832307</v>
      </c>
      <c r="R31" s="120">
        <f t="shared" si="8"/>
        <v>31830.69575501799</v>
      </c>
      <c r="S31" s="120">
        <f t="shared" si="8"/>
        <v>32235.148136979096</v>
      </c>
      <c r="T31" s="120">
        <f t="shared" si="8"/>
        <v>32643.202632967601</v>
      </c>
      <c r="U31" s="120">
        <f t="shared" si="8"/>
        <v>33054.848515237012</v>
      </c>
      <c r="W31" s="91">
        <f>SUM(B31:U31)</f>
        <v>563503.75566130725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Depreciation!C29</f>
        <v>6314.394134811977</v>
      </c>
      <c r="C33" s="127">
        <f>Depreciation!D29</f>
        <v>6314.394134811977</v>
      </c>
      <c r="D33" s="127">
        <f>Depreciation!E29</f>
        <v>6314.394134811977</v>
      </c>
      <c r="E33" s="127">
        <f>Depreciation!F29</f>
        <v>6314.394134811977</v>
      </c>
      <c r="F33" s="127">
        <f>Depreciation!G29</f>
        <v>6314.394134811977</v>
      </c>
      <c r="G33" s="127">
        <f>Depreciation!H29</f>
        <v>6314.394134811977</v>
      </c>
      <c r="H33" s="127">
        <f>Depreciation!I29</f>
        <v>6314.394134811977</v>
      </c>
      <c r="I33" s="127">
        <f>Depreciation!J29</f>
        <v>6314.394134811977</v>
      </c>
      <c r="J33" s="127">
        <f>Depreciation!K29</f>
        <v>6314.394134811977</v>
      </c>
      <c r="K33" s="127">
        <f>Depreciation!L29</f>
        <v>6314.394134811977</v>
      </c>
      <c r="L33" s="127">
        <f>Depreciation!M29</f>
        <v>6314.394134811977</v>
      </c>
      <c r="M33" s="127">
        <f>Depreciation!N29</f>
        <v>6314.394134811977</v>
      </c>
      <c r="N33" s="127">
        <f>Depreciation!O29</f>
        <v>6314.394134811977</v>
      </c>
      <c r="O33" s="127">
        <f>Depreciation!P29</f>
        <v>6314.394134811977</v>
      </c>
      <c r="P33" s="127">
        <f>Depreciation!Q29</f>
        <v>6314.394134811977</v>
      </c>
      <c r="Q33" s="127">
        <f>Depreciation!R29</f>
        <v>6314.394134811977</v>
      </c>
      <c r="R33" s="127">
        <f>Depreciation!S29</f>
        <v>6314.394134811977</v>
      </c>
      <c r="S33" s="127">
        <f>Depreciation!T29</f>
        <v>6314.394134811977</v>
      </c>
      <c r="T33" s="127">
        <f>Depreciation!U29</f>
        <v>6314.394134811977</v>
      </c>
      <c r="U33" s="127">
        <f>Depreciation!V29</f>
        <v>6314.394134811977</v>
      </c>
      <c r="W33" s="91">
        <f>SUM(B33:U33)</f>
        <v>126287.88269623948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9">B31-B33</f>
        <v>15036.300490359259</v>
      </c>
      <c r="C35" s="132">
        <f t="shared" si="9"/>
        <v>14978.659783290143</v>
      </c>
      <c r="D35" s="132">
        <f t="shared" si="9"/>
        <v>14919.66160218605</v>
      </c>
      <c r="E35" s="132">
        <f t="shared" si="9"/>
        <v>18869.298908509762</v>
      </c>
      <c r="F35" s="132">
        <f t="shared" si="9"/>
        <v>20253.615292323295</v>
      </c>
      <c r="G35" s="132">
        <f t="shared" si="9"/>
        <v>20597.516303870489</v>
      </c>
      <c r="H35" s="132">
        <f t="shared" si="9"/>
        <v>20945.505487294151</v>
      </c>
      <c r="I35" s="132">
        <f t="shared" si="9"/>
        <v>21295.918149442372</v>
      </c>
      <c r="J35" s="132">
        <f t="shared" si="9"/>
        <v>21662.610940924053</v>
      </c>
      <c r="K35" s="132">
        <f t="shared" si="9"/>
        <v>21469.608948963214</v>
      </c>
      <c r="L35" s="132">
        <f t="shared" si="9"/>
        <v>22182.271862990143</v>
      </c>
      <c r="M35" s="132">
        <f t="shared" si="9"/>
        <v>22922.074761819313</v>
      </c>
      <c r="N35" s="132">
        <f t="shared" si="9"/>
        <v>23596.688978851525</v>
      </c>
      <c r="O35" s="132">
        <f t="shared" si="9"/>
        <v>24150.707620952864</v>
      </c>
      <c r="P35" s="132">
        <f t="shared" si="9"/>
        <v>24713.654983316988</v>
      </c>
      <c r="Q35" s="132">
        <f t="shared" si="9"/>
        <v>25115.46034902033</v>
      </c>
      <c r="R35" s="132">
        <f t="shared" si="9"/>
        <v>25516.301620206013</v>
      </c>
      <c r="S35" s="132">
        <f t="shared" si="9"/>
        <v>25920.754002167119</v>
      </c>
      <c r="T35" s="132">
        <f t="shared" si="9"/>
        <v>26328.808498155624</v>
      </c>
      <c r="U35" s="132">
        <f t="shared" si="9"/>
        <v>26740.454380425035</v>
      </c>
      <c r="W35" s="91">
        <f>SUM(B35:U35)</f>
        <v>437215.8729650678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IS!B38*Allocation!$E$9</f>
        <v>9603.7598547842063</v>
      </c>
      <c r="C37" s="127">
        <f>IS!C38*Allocation!$E$9</f>
        <v>9459.6588517085438</v>
      </c>
      <c r="D37" s="127">
        <f>IS!D38*Allocation!$E$9</f>
        <v>9256.3995138418268</v>
      </c>
      <c r="E37" s="127">
        <f>IS!E38*Allocation!$E$9</f>
        <v>9096.8416115928721</v>
      </c>
      <c r="F37" s="127">
        <f>IS!F38*Allocation!$E$9</f>
        <v>8814.5496827297702</v>
      </c>
      <c r="G37" s="127">
        <f>IS!G38*Allocation!$E$9</f>
        <v>8479.9607043458545</v>
      </c>
      <c r="H37" s="127">
        <f>IS!H38*Allocation!$E$9</f>
        <v>8103.927741768427</v>
      </c>
      <c r="I37" s="127">
        <f>IS!I38*Allocation!$E$9</f>
        <v>7710.5282221958596</v>
      </c>
      <c r="J37" s="127">
        <f>IS!J38*Allocation!$E$9</f>
        <v>7221.8646410475194</v>
      </c>
      <c r="K37" s="127">
        <f>IS!K38*Allocation!$E$9</f>
        <v>6680.388990106956</v>
      </c>
      <c r="L37" s="127">
        <f>IS!L38*Allocation!$E$9</f>
        <v>6110.6328967138597</v>
      </c>
      <c r="M37" s="127">
        <f>IS!M38*Allocation!$E$9</f>
        <v>5489.409202668433</v>
      </c>
      <c r="N37" s="127">
        <f>IS!N38*Allocation!$E$9</f>
        <v>4837.3118335293548</v>
      </c>
      <c r="O37" s="127">
        <f>IS!O38*Allocation!$E$9</f>
        <v>4200.6513019371014</v>
      </c>
      <c r="P37" s="127">
        <f>IS!P38*Allocation!$E$9</f>
        <v>3555.9671033713585</v>
      </c>
      <c r="Q37" s="127">
        <f>IS!Q38*Allocation!$E$9</f>
        <v>2887.8224002852967</v>
      </c>
      <c r="R37" s="127">
        <f>IS!R38*Allocation!$E$9</f>
        <v>2179.123293474524</v>
      </c>
      <c r="S37" s="127">
        <f>IS!S38*Allocation!$E$9</f>
        <v>1510.8913766170117</v>
      </c>
      <c r="T37" s="127">
        <f>IS!T38*Allocation!$E$9</f>
        <v>937.89689818398415</v>
      </c>
      <c r="U37" s="127">
        <f>IS!U38*Allocation!$E$9</f>
        <v>366.29784009417267</v>
      </c>
      <c r="W37" s="91">
        <f>SUM(B37:U37)</f>
        <v>116503.88396099694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10">B35-B37</f>
        <v>5432.5406355750529</v>
      </c>
      <c r="C39" s="132">
        <f t="shared" si="10"/>
        <v>5519.0009315815987</v>
      </c>
      <c r="D39" s="132">
        <f t="shared" si="10"/>
        <v>5663.2620883442232</v>
      </c>
      <c r="E39" s="132">
        <f t="shared" si="10"/>
        <v>9772.4572969168894</v>
      </c>
      <c r="F39" s="132">
        <f t="shared" si="10"/>
        <v>11439.065609593525</v>
      </c>
      <c r="G39" s="132">
        <f t="shared" si="10"/>
        <v>12117.555599524634</v>
      </c>
      <c r="H39" s="132">
        <f t="shared" si="10"/>
        <v>12841.577745525723</v>
      </c>
      <c r="I39" s="132">
        <f t="shared" si="10"/>
        <v>13585.389927246513</v>
      </c>
      <c r="J39" s="132">
        <f t="shared" si="10"/>
        <v>14440.746299876533</v>
      </c>
      <c r="K39" s="132">
        <f t="shared" si="10"/>
        <v>14789.219958856258</v>
      </c>
      <c r="L39" s="132">
        <f t="shared" si="10"/>
        <v>16071.638966276283</v>
      </c>
      <c r="M39" s="132">
        <f t="shared" si="10"/>
        <v>17432.665559150879</v>
      </c>
      <c r="N39" s="132">
        <f t="shared" si="10"/>
        <v>18759.377145322171</v>
      </c>
      <c r="O39" s="132">
        <f t="shared" si="10"/>
        <v>19950.056319015763</v>
      </c>
      <c r="P39" s="132">
        <f t="shared" si="10"/>
        <v>21157.687879945632</v>
      </c>
      <c r="Q39" s="132">
        <f t="shared" si="10"/>
        <v>22227.637948735035</v>
      </c>
      <c r="R39" s="132">
        <f t="shared" si="10"/>
        <v>23337.17832673149</v>
      </c>
      <c r="S39" s="132">
        <f t="shared" si="10"/>
        <v>24409.862625550108</v>
      </c>
      <c r="T39" s="132">
        <f t="shared" si="10"/>
        <v>25390.911599971641</v>
      </c>
      <c r="U39" s="132">
        <f t="shared" si="10"/>
        <v>26374.156540330863</v>
      </c>
      <c r="W39" s="91">
        <f>SUM(B39:U39)</f>
        <v>320711.98900407087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B39*-Assumptions!$E$38</f>
        <v>-271.62703177875267</v>
      </c>
      <c r="C41" s="127">
        <f>C39*-Assumptions!$E$38</f>
        <v>-275.95004657907992</v>
      </c>
      <c r="D41" s="127">
        <f>D39*-Assumptions!$E$38</f>
        <v>-283.16310441721117</v>
      </c>
      <c r="E41" s="127">
        <f>E39*-Assumptions!$E$38</f>
        <v>-488.6228648458445</v>
      </c>
      <c r="F41" s="127">
        <f>F39*-Assumptions!$E$38</f>
        <v>-571.95328047967621</v>
      </c>
      <c r="G41" s="127">
        <f>G39*-Assumptions!$E$38</f>
        <v>-605.87777997623175</v>
      </c>
      <c r="H41" s="127">
        <f>H39*-Assumptions!$E$38</f>
        <v>-642.0788872762862</v>
      </c>
      <c r="I41" s="127">
        <f>I39*-Assumptions!$E$38</f>
        <v>-679.26949636232575</v>
      </c>
      <c r="J41" s="127">
        <f>J39*-Assumptions!$E$38</f>
        <v>-722.03731499382673</v>
      </c>
      <c r="K41" s="127">
        <f>K39*-Assumptions!$E$38</f>
        <v>-739.46099794281292</v>
      </c>
      <c r="L41" s="127">
        <f>L39*-Assumptions!$E$38</f>
        <v>-803.58194831381422</v>
      </c>
      <c r="M41" s="127">
        <f>M39*-Assumptions!$E$38</f>
        <v>-871.63327795754401</v>
      </c>
      <c r="N41" s="127">
        <f>N39*-Assumptions!$E$38</f>
        <v>-937.96885726610856</v>
      </c>
      <c r="O41" s="127">
        <f>O39*-Assumptions!$E$38</f>
        <v>-997.5028159507882</v>
      </c>
      <c r="P41" s="127">
        <f>P39*-Assumptions!$E$38</f>
        <v>-1057.8843939972817</v>
      </c>
      <c r="Q41" s="127">
        <f>Q39*-Assumptions!$E$38</f>
        <v>-1111.3818974367518</v>
      </c>
      <c r="R41" s="127">
        <f>R39*-Assumptions!$E$38</f>
        <v>-1166.8589163365746</v>
      </c>
      <c r="S41" s="127">
        <f>S39*-Assumptions!$E$38</f>
        <v>-1220.4931312775054</v>
      </c>
      <c r="T41" s="127">
        <f>T39*-Assumptions!$E$38</f>
        <v>-1269.5455799985821</v>
      </c>
      <c r="U41" s="127">
        <f>U39*-Assumptions!$E$38</f>
        <v>-1318.7078270165432</v>
      </c>
      <c r="W41" s="91">
        <f>SUM(B41:U41)</f>
        <v>-16035.599450203543</v>
      </c>
    </row>
    <row r="42" spans="1:23">
      <c r="A42" s="3" t="s">
        <v>69</v>
      </c>
      <c r="B42" s="121">
        <f>(B39+B41)*-Assumptions!$E$37</f>
        <v>-1806.3197613287048</v>
      </c>
      <c r="C42" s="121">
        <f>(C39+C41)*-Assumptions!$E$37</f>
        <v>-1835.0678097508815</v>
      </c>
      <c r="D42" s="121">
        <f>(D39+D41)*-Assumptions!$E$37</f>
        <v>-1883.0346443744543</v>
      </c>
      <c r="E42" s="121">
        <f>(E39+E41)*-Assumptions!$E$37</f>
        <v>-3249.3420512248658</v>
      </c>
      <c r="F42" s="121">
        <f>(F39+F41)*-Assumptions!$E$37</f>
        <v>-3803.4893151898468</v>
      </c>
      <c r="G42" s="121">
        <f>(G39+G41)*-Assumptions!$E$37</f>
        <v>-4029.0872368419405</v>
      </c>
      <c r="H42" s="121">
        <f>(H39+H41)*-Assumptions!$E$37</f>
        <v>-4269.8246003873028</v>
      </c>
      <c r="I42" s="121">
        <f>(I39+I41)*-Assumptions!$E$37</f>
        <v>-4517.1421508094654</v>
      </c>
      <c r="J42" s="121">
        <f>(J39+J41)*-Assumptions!$E$37</f>
        <v>-4801.5481447089469</v>
      </c>
      <c r="K42" s="121">
        <f>(K39+K41)*-Assumptions!$E$37</f>
        <v>-4917.4156363197053</v>
      </c>
      <c r="L42" s="121">
        <f>(L39+L41)*-Assumptions!$E$37</f>
        <v>-5343.819956286864</v>
      </c>
      <c r="M42" s="121">
        <f>(M39+M41)*-Assumptions!$E$37</f>
        <v>-5796.3612984176671</v>
      </c>
      <c r="N42" s="121">
        <f>(N39+N41)*-Assumptions!$E$37</f>
        <v>-6237.4929008196223</v>
      </c>
      <c r="O42" s="121">
        <f>(O39+O41)*-Assumptions!$E$37</f>
        <v>-6633.3937260727407</v>
      </c>
      <c r="P42" s="121">
        <f>(P39+P41)*-Assumptions!$E$37</f>
        <v>-7034.9312200819213</v>
      </c>
      <c r="Q42" s="121">
        <f>(Q39+Q41)*-Assumptions!$E$37</f>
        <v>-7390.6896179543983</v>
      </c>
      <c r="R42" s="121">
        <f>(R39+R41)*-Assumptions!$E$37</f>
        <v>-7759.6117936382188</v>
      </c>
      <c r="S42" s="121">
        <f>(S39+S41)*-Assumptions!$E$37</f>
        <v>-8116.2793229954104</v>
      </c>
      <c r="T42" s="121">
        <f>(T39+T41)*-Assumptions!$E$37</f>
        <v>-8442.4781069905694</v>
      </c>
      <c r="U42" s="121">
        <f>(U39+U41)*-Assumptions!$E$37</f>
        <v>-8769.4070496600107</v>
      </c>
      <c r="W42" s="91">
        <f>SUM(B42:U42)</f>
        <v>-106636.73634385352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1">SUM(B39:B42)</f>
        <v>3354.5938424675951</v>
      </c>
      <c r="C44" s="134">
        <f t="shared" si="11"/>
        <v>3407.9830752516373</v>
      </c>
      <c r="D44" s="134">
        <f t="shared" si="11"/>
        <v>3497.0643395525581</v>
      </c>
      <c r="E44" s="134">
        <f t="shared" si="11"/>
        <v>6034.4923808461799</v>
      </c>
      <c r="F44" s="134">
        <f t="shared" si="11"/>
        <v>7063.6230139240015</v>
      </c>
      <c r="G44" s="134">
        <f t="shared" si="11"/>
        <v>7482.5905827064616</v>
      </c>
      <c r="H44" s="134">
        <f t="shared" si="11"/>
        <v>7929.6742578621343</v>
      </c>
      <c r="I44" s="134">
        <f t="shared" si="11"/>
        <v>8388.9782800747234</v>
      </c>
      <c r="J44" s="134">
        <f t="shared" si="11"/>
        <v>8917.1608401737612</v>
      </c>
      <c r="K44" s="134">
        <f t="shared" si="11"/>
        <v>9132.3433245937395</v>
      </c>
      <c r="L44" s="134">
        <f t="shared" si="11"/>
        <v>9924.2370616756052</v>
      </c>
      <c r="M44" s="134">
        <f t="shared" si="11"/>
        <v>10764.670982775669</v>
      </c>
      <c r="N44" s="134">
        <f t="shared" si="11"/>
        <v>11583.91538723644</v>
      </c>
      <c r="O44" s="134">
        <f t="shared" si="11"/>
        <v>12319.159776992234</v>
      </c>
      <c r="P44" s="134">
        <f t="shared" si="11"/>
        <v>13064.872265866426</v>
      </c>
      <c r="Q44" s="134">
        <f t="shared" si="11"/>
        <v>13725.566433343884</v>
      </c>
      <c r="R44" s="134">
        <f t="shared" si="11"/>
        <v>14410.707616756696</v>
      </c>
      <c r="S44" s="134">
        <f t="shared" si="11"/>
        <v>15073.090171277192</v>
      </c>
      <c r="T44" s="134">
        <f t="shared" si="11"/>
        <v>15678.887912982489</v>
      </c>
      <c r="U44" s="134">
        <f t="shared" si="11"/>
        <v>16286.041663654309</v>
      </c>
      <c r="W44" s="91">
        <f>SUM(B44:U44)</f>
        <v>198039.65321001376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172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2">B52+1</f>
        <v>2002</v>
      </c>
      <c r="D52" s="8">
        <f t="shared" si="12"/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</row>
    <row r="53" spans="1:55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</row>
    <row r="54" spans="1:55" outlineLevel="1">
      <c r="A54" s="13" t="s">
        <v>270</v>
      </c>
      <c r="B54" s="67">
        <f>B31-B12</f>
        <v>14775.604229414468</v>
      </c>
      <c r="C54" s="67">
        <f>C31-C12</f>
        <v>14717.963522345352</v>
      </c>
      <c r="D54" s="67">
        <f>D31-D12</f>
        <v>14658.965341241259</v>
      </c>
      <c r="E54" s="56">
        <f t="shared" ref="E54:U54" si="13">E31</f>
        <v>25183.693043321739</v>
      </c>
      <c r="F54" s="56">
        <f t="shared" si="13"/>
        <v>26568.009427135272</v>
      </c>
      <c r="G54" s="56">
        <f t="shared" si="13"/>
        <v>26911.910438682466</v>
      </c>
      <c r="H54" s="56">
        <f t="shared" si="13"/>
        <v>27259.899622106128</v>
      </c>
      <c r="I54" s="56">
        <f t="shared" si="13"/>
        <v>27610.312284254349</v>
      </c>
      <c r="J54" s="56">
        <f t="shared" si="13"/>
        <v>27977.00507573603</v>
      </c>
      <c r="K54" s="56">
        <f t="shared" si="13"/>
        <v>27784.003083775191</v>
      </c>
      <c r="L54" s="56">
        <f t="shared" si="13"/>
        <v>28496.66599780212</v>
      </c>
      <c r="M54" s="56">
        <f t="shared" si="13"/>
        <v>29236.46889663129</v>
      </c>
      <c r="N54" s="56">
        <f t="shared" si="13"/>
        <v>29911.083113663502</v>
      </c>
      <c r="O54" s="56">
        <f t="shared" si="13"/>
        <v>30465.101755764841</v>
      </c>
      <c r="P54" s="56">
        <f t="shared" si="13"/>
        <v>31028.049118128965</v>
      </c>
      <c r="Q54" s="56">
        <f t="shared" si="13"/>
        <v>31429.854483832307</v>
      </c>
      <c r="R54" s="56">
        <f t="shared" si="13"/>
        <v>31830.69575501799</v>
      </c>
      <c r="S54" s="56">
        <f t="shared" si="13"/>
        <v>32235.148136979096</v>
      </c>
      <c r="T54" s="56">
        <f t="shared" si="13"/>
        <v>32643.202632967601</v>
      </c>
      <c r="U54" s="56">
        <f t="shared" si="13"/>
        <v>33054.848515237012</v>
      </c>
      <c r="W54" s="400">
        <f>SUM(B54:U54)</f>
        <v>543778.48447403696</v>
      </c>
    </row>
    <row r="55" spans="1:55">
      <c r="A55" s="13" t="s">
        <v>168</v>
      </c>
      <c r="B55" s="67">
        <f>B26</f>
        <v>487.9</v>
      </c>
      <c r="C55" s="67">
        <f t="shared" ref="C55:T55" si="14">C26</f>
        <v>486.5</v>
      </c>
      <c r="D55" s="67">
        <f t="shared" si="14"/>
        <v>484.5</v>
      </c>
      <c r="E55" s="67">
        <f t="shared" si="14"/>
        <v>476.4</v>
      </c>
      <c r="F55" s="67">
        <f t="shared" si="14"/>
        <v>467.3</v>
      </c>
      <c r="G55" s="67">
        <f t="shared" si="14"/>
        <v>451.3</v>
      </c>
      <c r="H55" s="67">
        <f t="shared" si="14"/>
        <v>427.8</v>
      </c>
      <c r="I55" s="67">
        <f t="shared" si="14"/>
        <v>402.5</v>
      </c>
      <c r="J55" s="67">
        <f t="shared" si="14"/>
        <v>362.4</v>
      </c>
      <c r="K55" s="67">
        <f t="shared" si="14"/>
        <v>878.3</v>
      </c>
      <c r="L55" s="67">
        <f t="shared" si="14"/>
        <v>695.3</v>
      </c>
      <c r="M55" s="67">
        <f t="shared" si="14"/>
        <v>494</v>
      </c>
      <c r="N55" s="67">
        <f t="shared" si="14"/>
        <v>365.9</v>
      </c>
      <c r="O55" s="67">
        <f t="shared" si="14"/>
        <v>365.9</v>
      </c>
      <c r="P55" s="67">
        <f t="shared" si="14"/>
        <v>365.9</v>
      </c>
      <c r="Q55" s="67">
        <f t="shared" si="14"/>
        <v>365.9</v>
      </c>
      <c r="R55" s="67">
        <f t="shared" si="14"/>
        <v>365.9</v>
      </c>
      <c r="S55" s="67">
        <f t="shared" si="14"/>
        <v>365.9</v>
      </c>
      <c r="T55" s="67">
        <f t="shared" si="14"/>
        <v>365.9</v>
      </c>
      <c r="U55" s="67">
        <f>T55</f>
        <v>365.9</v>
      </c>
      <c r="W55" s="400">
        <f>SUM(B55:U55)</f>
        <v>9041.3999999999978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-488.8</v>
      </c>
      <c r="C56" s="67">
        <f>-B55</f>
        <v>-487.9</v>
      </c>
      <c r="D56" s="67">
        <f t="shared" ref="D56:U56" si="15">-C55</f>
        <v>-486.5</v>
      </c>
      <c r="E56" s="67">
        <f t="shared" si="15"/>
        <v>-484.5</v>
      </c>
      <c r="F56" s="67">
        <f t="shared" si="15"/>
        <v>-476.4</v>
      </c>
      <c r="G56" s="67">
        <f t="shared" si="15"/>
        <v>-467.3</v>
      </c>
      <c r="H56" s="67">
        <f t="shared" si="15"/>
        <v>-451.3</v>
      </c>
      <c r="I56" s="67">
        <f t="shared" si="15"/>
        <v>-427.8</v>
      </c>
      <c r="J56" s="67">
        <f t="shared" si="15"/>
        <v>-402.5</v>
      </c>
      <c r="K56" s="67">
        <f t="shared" si="15"/>
        <v>-362.4</v>
      </c>
      <c r="L56" s="67">
        <f t="shared" si="15"/>
        <v>-878.3</v>
      </c>
      <c r="M56" s="67">
        <f t="shared" si="15"/>
        <v>-695.3</v>
      </c>
      <c r="N56" s="67">
        <f t="shared" si="15"/>
        <v>-494</v>
      </c>
      <c r="O56" s="67">
        <f t="shared" si="15"/>
        <v>-365.9</v>
      </c>
      <c r="P56" s="67">
        <f t="shared" si="15"/>
        <v>-365.9</v>
      </c>
      <c r="Q56" s="67">
        <f t="shared" si="15"/>
        <v>-365.9</v>
      </c>
      <c r="R56" s="67">
        <f t="shared" si="15"/>
        <v>-365.9</v>
      </c>
      <c r="S56" s="67">
        <f t="shared" si="15"/>
        <v>-365.9</v>
      </c>
      <c r="T56" s="67">
        <f t="shared" si="15"/>
        <v>-365.9</v>
      </c>
      <c r="U56" s="67">
        <f t="shared" si="15"/>
        <v>-365.9</v>
      </c>
      <c r="W56" s="400">
        <f>SUM(B56:U56)</f>
        <v>-9164.2999999999975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-Debt!B77*Allocation!$E$9</f>
        <v>-11459.962356093862</v>
      </c>
      <c r="C57" s="398">
        <f>-Debt!C77*Allocation!$E$9</f>
        <v>-11450.585728113258</v>
      </c>
      <c r="D57" s="398">
        <f>-Debt!D77*Allocation!$E$9</f>
        <v>-11397.020140352157</v>
      </c>
      <c r="E57" s="398">
        <f>-Debt!E77*Allocation!$E$9</f>
        <v>-11234.468363101088</v>
      </c>
      <c r="F57" s="398">
        <f>-Debt!F77*Allocation!$E$9</f>
        <v>-11756.930034805784</v>
      </c>
      <c r="G57" s="398">
        <f>-Debt!G77*Allocation!$E$9</f>
        <v>-11824.717856705769</v>
      </c>
      <c r="H57" s="398">
        <f>-Debt!H77*Allocation!$E$9</f>
        <v>-11750.467494341267</v>
      </c>
      <c r="I57" s="398">
        <f>-Debt!I77*Allocation!$E$9</f>
        <v>-11860.038975123571</v>
      </c>
      <c r="J57" s="398">
        <f>-Debt!J77*Allocation!$E$9</f>
        <v>-11773.752194259132</v>
      </c>
      <c r="K57" s="398">
        <f>-Debt!K77*Allocation!$E$9</f>
        <v>-11909.49106879638</v>
      </c>
      <c r="L57" s="398">
        <f>-Debt!L77*Allocation!$E$9</f>
        <v>-11798.995400727319</v>
      </c>
      <c r="M57" s="398">
        <f>-Debt!M77*Allocation!$E$9</f>
        <v>-11177.771706681893</v>
      </c>
      <c r="N57" s="398">
        <f>-Debt!N77*Allocation!$E$9</f>
        <v>-10525.674337542814</v>
      </c>
      <c r="O57" s="398">
        <f>-Debt!O77*Allocation!$E$9</f>
        <v>-9889.0138059505625</v>
      </c>
      <c r="P57" s="398">
        <f>-Debt!P77*Allocation!$E$9</f>
        <v>-9528.7477325854907</v>
      </c>
      <c r="Q57" s="398">
        <f>-Debt!Q77*Allocation!$E$9</f>
        <v>-9145.0211547001036</v>
      </c>
      <c r="R57" s="398">
        <f>-Debt!R77*Allocation!$E$9</f>
        <v>-8436.3220478893309</v>
      </c>
      <c r="S57" s="398">
        <f>-Debt!S77*Allocation!$E$9</f>
        <v>-6630.4176302291262</v>
      </c>
      <c r="T57" s="398">
        <f>-Debt!T77*Allocation!$E$9</f>
        <v>-6057.423151796098</v>
      </c>
      <c r="U57" s="398">
        <f>-Debt!U77*Allocation!$E$9</f>
        <v>-4916.9878433049462</v>
      </c>
      <c r="W57" s="400">
        <f>SUM(B57:U57)</f>
        <v>-204523.80902309998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outlineLevel="1">
      <c r="A59" s="12" t="s">
        <v>72</v>
      </c>
      <c r="B59" s="65">
        <f t="shared" ref="B59:U59" si="16">SUM(B54:B57)</f>
        <v>3314.7418733206068</v>
      </c>
      <c r="C59" s="65">
        <f t="shared" si="16"/>
        <v>3265.9777942320943</v>
      </c>
      <c r="D59" s="65">
        <f t="shared" si="16"/>
        <v>3259.9452008891021</v>
      </c>
      <c r="E59" s="65">
        <f t="shared" si="16"/>
        <v>13941.124680220651</v>
      </c>
      <c r="F59" s="65">
        <f t="shared" si="16"/>
        <v>14801.979392329486</v>
      </c>
      <c r="G59" s="65">
        <f t="shared" si="16"/>
        <v>15071.192581976697</v>
      </c>
      <c r="H59" s="65">
        <f t="shared" si="16"/>
        <v>15485.932127764861</v>
      </c>
      <c r="I59" s="65">
        <f t="shared" si="16"/>
        <v>15724.973309130779</v>
      </c>
      <c r="J59" s="65">
        <f t="shared" si="16"/>
        <v>16163.152881476899</v>
      </c>
      <c r="K59" s="65">
        <f t="shared" si="16"/>
        <v>16390.412014978807</v>
      </c>
      <c r="L59" s="65">
        <f t="shared" si="16"/>
        <v>16514.670597074801</v>
      </c>
      <c r="M59" s="65">
        <f t="shared" si="16"/>
        <v>17857.397189949399</v>
      </c>
      <c r="N59" s="65">
        <f t="shared" si="16"/>
        <v>19257.308776120692</v>
      </c>
      <c r="O59" s="65">
        <f t="shared" si="16"/>
        <v>20576.087949814279</v>
      </c>
      <c r="P59" s="65">
        <f t="shared" si="16"/>
        <v>21499.301385543476</v>
      </c>
      <c r="Q59" s="65">
        <f t="shared" si="16"/>
        <v>22284.833329132205</v>
      </c>
      <c r="R59" s="65">
        <f t="shared" si="16"/>
        <v>23394.37370712866</v>
      </c>
      <c r="S59" s="65">
        <f t="shared" si="16"/>
        <v>25604.730506749969</v>
      </c>
      <c r="T59" s="65">
        <f t="shared" si="16"/>
        <v>26585.779481171503</v>
      </c>
      <c r="U59" s="65">
        <f t="shared" si="16"/>
        <v>28137.860671932067</v>
      </c>
      <c r="W59" s="400">
        <f>SUM(B59:U59)</f>
        <v>339131.77545093704</v>
      </c>
    </row>
    <row r="60" spans="1:55" outlineLevel="1">
      <c r="A60" s="12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W60" s="401"/>
    </row>
    <row r="61" spans="1:55" ht="15" outlineLevel="1">
      <c r="A61" s="13" t="s">
        <v>99</v>
      </c>
      <c r="B61" s="223">
        <f>-B100</f>
        <v>0</v>
      </c>
      <c r="C61" s="223">
        <f t="shared" ref="C61:U61" si="17">-C100</f>
        <v>0</v>
      </c>
      <c r="D61" s="223">
        <f t="shared" si="17"/>
        <v>0</v>
      </c>
      <c r="E61" s="223">
        <f t="shared" si="17"/>
        <v>0</v>
      </c>
      <c r="F61" s="223">
        <f t="shared" si="17"/>
        <v>0</v>
      </c>
      <c r="G61" s="223">
        <f t="shared" si="17"/>
        <v>0</v>
      </c>
      <c r="H61" s="223">
        <f t="shared" si="17"/>
        <v>0</v>
      </c>
      <c r="I61" s="223">
        <f t="shared" si="17"/>
        <v>-43.615288358645216</v>
      </c>
      <c r="J61" s="223">
        <f t="shared" si="17"/>
        <v>-475.03114848036188</v>
      </c>
      <c r="K61" s="223">
        <f t="shared" si="17"/>
        <v>-491.50105876281577</v>
      </c>
      <c r="L61" s="223">
        <f t="shared" si="17"/>
        <v>-556.57578180034932</v>
      </c>
      <c r="M61" s="223">
        <f t="shared" si="17"/>
        <v>-623.67333877754686</v>
      </c>
      <c r="N61" s="223">
        <f t="shared" si="17"/>
        <v>-690.96269075264377</v>
      </c>
      <c r="O61" s="223">
        <f t="shared" si="17"/>
        <v>-749.54287677079105</v>
      </c>
      <c r="P61" s="223">
        <f t="shared" si="17"/>
        <v>-810.87822748381677</v>
      </c>
      <c r="Q61" s="223">
        <f t="shared" si="17"/>
        <v>-1145.738667550319</v>
      </c>
      <c r="R61" s="223">
        <f t="shared" si="17"/>
        <v>-1482.5786230771735</v>
      </c>
      <c r="S61" s="223">
        <f t="shared" si="17"/>
        <v>-1536.2128380181043</v>
      </c>
      <c r="T61" s="223">
        <f t="shared" si="17"/>
        <v>-1585.265286739181</v>
      </c>
      <c r="U61" s="223">
        <f t="shared" si="17"/>
        <v>-1634.4275337571421</v>
      </c>
      <c r="W61" s="400">
        <f>SUM(B61:U61)</f>
        <v>-11826.003360328888</v>
      </c>
    </row>
    <row r="62" spans="1:55" outlineLevel="1">
      <c r="A62" s="13" t="s">
        <v>100</v>
      </c>
      <c r="B62" s="128">
        <f>-Allocation!$E$9*Tax!B24</f>
        <v>0</v>
      </c>
      <c r="C62" s="128">
        <f>-Allocation!$E$9*Tax!C24</f>
        <v>0</v>
      </c>
      <c r="D62" s="128">
        <f>-Allocation!$E$9*Tax!D24</f>
        <v>0</v>
      </c>
      <c r="E62" s="128">
        <f>-Allocation!$E$9*Tax!E24</f>
        <v>0</v>
      </c>
      <c r="F62" s="128">
        <f>-Allocation!$E$9*Tax!F24</f>
        <v>0</v>
      </c>
      <c r="G62" s="128">
        <f>-Allocation!$E$9*Tax!G24</f>
        <v>0</v>
      </c>
      <c r="H62" s="128">
        <f>-Allocation!$E$9*Tax!H24</f>
        <v>-2525.0821347314154</v>
      </c>
      <c r="I62" s="128">
        <f>-Allocation!$E$9*Tax!I24</f>
        <v>-3463.9296281498382</v>
      </c>
      <c r="J62" s="128">
        <f>-Allocation!$E$9*Tax!J24</f>
        <v>-3732.130339380315</v>
      </c>
      <c r="K62" s="128">
        <f>-Allocation!$E$9*Tax!K24</f>
        <v>-4010.0382569264502</v>
      </c>
      <c r="L62" s="128">
        <f>-Allocation!$E$9*Tax!L24</f>
        <v>-4375.7801267999939</v>
      </c>
      <c r="M62" s="128">
        <f>-Allocation!$E$9*Tax!M24</f>
        <v>-4758.3004730957955</v>
      </c>
      <c r="N62" s="128">
        <f>-Allocation!$E$9*Tax!N24</f>
        <v>-5144.2806233654574</v>
      </c>
      <c r="O62" s="128">
        <f>-Allocation!$E$9*Tax!O24</f>
        <v>-5521.2678103151584</v>
      </c>
      <c r="P62" s="128">
        <f>-Allocation!$E$9*Tax!P24</f>
        <v>-5894.6101372774274</v>
      </c>
      <c r="Q62" s="128">
        <f>-Allocation!$E$9*Tax!Q24</f>
        <v>-7805.2045409314087</v>
      </c>
      <c r="R62" s="128">
        <f>-Allocation!$E$9*Tax!R24</f>
        <v>-9707.1993619513123</v>
      </c>
      <c r="S62" s="128">
        <f>-Allocation!$E$9*Tax!S24</f>
        <v>-10068.841106845541</v>
      </c>
      <c r="T62" s="128">
        <f>-Allocation!$E$9*Tax!T24</f>
        <v>-10400.894592826453</v>
      </c>
      <c r="U62" s="128">
        <f>-Allocation!$E$9*Tax!U24</f>
        <v>-10734.511462481712</v>
      </c>
      <c r="W62" s="400">
        <f>SUM(B62:U62)</f>
        <v>-88142.070595078287</v>
      </c>
    </row>
    <row r="63" spans="1:55" outlineLevel="1">
      <c r="A63" s="1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W63" s="401"/>
    </row>
    <row r="64" spans="1:55" s="125" customFormat="1" ht="15.75" outlineLevel="1">
      <c r="A64" s="46" t="s">
        <v>73</v>
      </c>
      <c r="B64" s="137">
        <f t="shared" ref="B64:U64" si="18">B59+B62+B61</f>
        <v>3314.7418733206068</v>
      </c>
      <c r="C64" s="137">
        <f t="shared" si="18"/>
        <v>3265.9777942320943</v>
      </c>
      <c r="D64" s="137">
        <f t="shared" si="18"/>
        <v>3259.9452008891021</v>
      </c>
      <c r="E64" s="137">
        <f t="shared" si="18"/>
        <v>13941.124680220651</v>
      </c>
      <c r="F64" s="137">
        <f t="shared" si="18"/>
        <v>14801.979392329486</v>
      </c>
      <c r="G64" s="137">
        <f t="shared" si="18"/>
        <v>15071.192581976697</v>
      </c>
      <c r="H64" s="137">
        <f t="shared" si="18"/>
        <v>12960.849993033446</v>
      </c>
      <c r="I64" s="137">
        <f t="shared" si="18"/>
        <v>12217.428392622294</v>
      </c>
      <c r="J64" s="137">
        <f t="shared" si="18"/>
        <v>11955.991393616221</v>
      </c>
      <c r="K64" s="137">
        <f t="shared" si="18"/>
        <v>11888.872699289539</v>
      </c>
      <c r="L64" s="137">
        <f t="shared" si="18"/>
        <v>11582.314688474458</v>
      </c>
      <c r="M64" s="137">
        <f t="shared" si="18"/>
        <v>12475.423378076057</v>
      </c>
      <c r="N64" s="137">
        <f t="shared" si="18"/>
        <v>13422.065462002591</v>
      </c>
      <c r="O64" s="137">
        <f t="shared" si="18"/>
        <v>14305.277262728328</v>
      </c>
      <c r="P64" s="137">
        <f t="shared" si="18"/>
        <v>14793.813020782232</v>
      </c>
      <c r="Q64" s="137">
        <f t="shared" si="18"/>
        <v>13333.890120650478</v>
      </c>
      <c r="R64" s="137">
        <f t="shared" si="18"/>
        <v>12204.595722100174</v>
      </c>
      <c r="S64" s="137">
        <f t="shared" si="18"/>
        <v>13999.676561886325</v>
      </c>
      <c r="T64" s="137">
        <f t="shared" si="18"/>
        <v>14599.619601605869</v>
      </c>
      <c r="U64" s="137">
        <f t="shared" si="18"/>
        <v>15768.921675693211</v>
      </c>
      <c r="W64" s="400">
        <f>SUM(B64:U64)</f>
        <v>239163.70149552988</v>
      </c>
    </row>
    <row r="65" spans="1:44" outlineLevel="1">
      <c r="A65" s="68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44" outlineLevel="1">
      <c r="A66" s="68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44" outlineLevel="1">
      <c r="A67" s="6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44" ht="18.75" outlineLevel="1">
      <c r="A68" s="55" t="s">
        <v>217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44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44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44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44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44" outlineLevel="1">
      <c r="A73" s="225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44" outlineLevel="1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44" outlineLevel="1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44" outlineLevel="1">
      <c r="A76" s="7" t="s">
        <v>180</v>
      </c>
      <c r="B76" s="439">
        <f>Allocation!$C$9*'Summary Output'!$C$8</f>
        <v>83891.284845906048</v>
      </c>
      <c r="C76" s="439">
        <f>Allocation!$C$9*'Summary Output'!$C$8</f>
        <v>83891.284845906048</v>
      </c>
      <c r="D76" s="439">
        <f>Allocation!$C$9*'Summary Output'!$C$8</f>
        <v>83891.284845906048</v>
      </c>
      <c r="E76" s="439">
        <f>Allocation!$C$9*'Summary Output'!$C$8</f>
        <v>83891.284845906048</v>
      </c>
      <c r="F76" s="439">
        <f>Allocation!$C$9*'Summary Output'!$C$8</f>
        <v>83891.284845906048</v>
      </c>
      <c r="G76" s="439">
        <f>Allocation!$C$9*'Summary Output'!$C$8</f>
        <v>83891.284845906048</v>
      </c>
      <c r="H76" s="439">
        <f>Allocation!$C$9*'Summary Output'!$C$8</f>
        <v>83891.284845906048</v>
      </c>
      <c r="I76" s="439">
        <f>Allocation!$C$9*'Summary Output'!$C$8</f>
        <v>83891.284845906048</v>
      </c>
      <c r="J76" s="439">
        <f>Allocation!$C$9*'Summary Output'!$C$8</f>
        <v>83891.284845906048</v>
      </c>
      <c r="K76" s="439">
        <f>Allocation!$C$9*'Summary Output'!$C$8</f>
        <v>83891.284845906048</v>
      </c>
      <c r="L76" s="439">
        <f>Allocation!$C$9*'Summary Output'!$C$8</f>
        <v>83891.284845906048</v>
      </c>
      <c r="M76" s="439">
        <f>Allocation!$C$9*'Summary Output'!$C$8</f>
        <v>83891.284845906048</v>
      </c>
      <c r="N76" s="439">
        <f>Allocation!$C$9*'Summary Output'!$C$8</f>
        <v>83891.284845906048</v>
      </c>
      <c r="O76" s="439">
        <f>Allocation!$C$9*'Summary Output'!$C$8</f>
        <v>83891.284845906048</v>
      </c>
      <c r="P76" s="439">
        <f>Allocation!$C$9*'Summary Output'!$C$8</f>
        <v>83891.284845906048</v>
      </c>
      <c r="Q76" s="439">
        <f>Allocation!$C$9*'Summary Output'!$C$8</f>
        <v>83891.284845906048</v>
      </c>
      <c r="R76" s="439">
        <f>Allocation!$C$9*'Summary Output'!$C$8</f>
        <v>83891.284845906048</v>
      </c>
      <c r="S76" s="439">
        <f>Allocation!$C$9*'Summary Output'!$C$8</f>
        <v>83891.284845906048</v>
      </c>
      <c r="T76" s="439">
        <f>Allocation!$C$9*'Summary Output'!$C$8</f>
        <v>83891.284845906048</v>
      </c>
      <c r="U76" s="439">
        <f>Allocation!$C$9*'Summary Output'!$C$8</f>
        <v>83891.284845906048</v>
      </c>
    </row>
    <row r="77" spans="1:44" outlineLevel="1">
      <c r="A77" s="443" t="s">
        <v>273</v>
      </c>
      <c r="B77" s="440">
        <f>B44-B64-B12*(Assumptions!$E$38+(1-Assumptions!$E$38)*Assumptions!$E$37)</f>
        <v>-2475.120107229975</v>
      </c>
      <c r="C77" s="440">
        <f>C44-C64-C12*(Assumptions!$E$38+(1-Assumptions!$E$38)*Assumptions!$E$37)+B77</f>
        <v>-4848.0869025873953</v>
      </c>
      <c r="D77" s="440">
        <f>D44-D64-D12*(Assumptions!$E$38+(1-Assumptions!$E$38)*Assumptions!$E$37)+C77</f>
        <v>-7125.9398403009027</v>
      </c>
      <c r="E77" s="440">
        <f t="shared" ref="E77:U77" si="19">E44-E64+D77</f>
        <v>-15032.572139675374</v>
      </c>
      <c r="F77" s="440">
        <f t="shared" si="19"/>
        <v>-22770.928518080858</v>
      </c>
      <c r="G77" s="440">
        <f t="shared" si="19"/>
        <v>-30359.530517351093</v>
      </c>
      <c r="H77" s="440">
        <f t="shared" si="19"/>
        <v>-35390.706252522403</v>
      </c>
      <c r="I77" s="440">
        <f t="shared" si="19"/>
        <v>-39219.156365069975</v>
      </c>
      <c r="J77" s="440">
        <f t="shared" si="19"/>
        <v>-42257.986918512433</v>
      </c>
      <c r="K77" s="440">
        <f t="shared" si="19"/>
        <v>-45014.516293208231</v>
      </c>
      <c r="L77" s="440">
        <f t="shared" si="19"/>
        <v>-46672.593920007086</v>
      </c>
      <c r="M77" s="440">
        <f t="shared" si="19"/>
        <v>-48383.34631530747</v>
      </c>
      <c r="N77" s="440">
        <f t="shared" si="19"/>
        <v>-50221.496390073618</v>
      </c>
      <c r="O77" s="440">
        <f t="shared" si="19"/>
        <v>-52207.613875809715</v>
      </c>
      <c r="P77" s="440">
        <f t="shared" si="19"/>
        <v>-53936.554630725521</v>
      </c>
      <c r="Q77" s="440">
        <f t="shared" si="19"/>
        <v>-53544.878318032119</v>
      </c>
      <c r="R77" s="440">
        <f t="shared" si="19"/>
        <v>-51338.766423375593</v>
      </c>
      <c r="S77" s="440">
        <f t="shared" si="19"/>
        <v>-50265.352813984726</v>
      </c>
      <c r="T77" s="440">
        <f t="shared" si="19"/>
        <v>-49186.084502608108</v>
      </c>
      <c r="U77" s="440">
        <f t="shared" si="19"/>
        <v>-48668.964514647014</v>
      </c>
      <c r="Y77" s="440"/>
      <c r="Z77" s="440"/>
      <c r="AA77" s="440"/>
      <c r="AB77" s="440"/>
      <c r="AC77" s="440"/>
      <c r="AD77" s="440"/>
      <c r="AE77" s="440"/>
      <c r="AF77" s="440"/>
      <c r="AG77" s="440"/>
      <c r="AH77" s="440"/>
      <c r="AI77" s="440"/>
      <c r="AJ77" s="440"/>
      <c r="AK77" s="440"/>
      <c r="AL77" s="440"/>
      <c r="AM77" s="440"/>
      <c r="AN77" s="440"/>
      <c r="AO77" s="440"/>
      <c r="AP77" s="440"/>
      <c r="AQ77" s="440"/>
      <c r="AR77" s="440"/>
    </row>
    <row r="78" spans="1:44" outlineLevel="1">
      <c r="A78" s="443" t="s">
        <v>187</v>
      </c>
      <c r="B78" s="441">
        <f>Debt!B73*Allocation!$E$9</f>
        <v>86163.722560793365</v>
      </c>
      <c r="C78" s="441">
        <f>Debt!C73*Allocation!$E$9</f>
        <v>84172.79568438865</v>
      </c>
      <c r="D78" s="441">
        <f>Debt!D73*Allocation!$E$9</f>
        <v>82032.175057878325</v>
      </c>
      <c r="E78" s="441">
        <f>Debt!E73*Allocation!$E$9</f>
        <v>79894.54830637011</v>
      </c>
      <c r="F78" s="441">
        <f>Debt!F73*Allocation!$E$9</f>
        <v>76952.167954294084</v>
      </c>
      <c r="G78" s="441">
        <f>Debt!G73*Allocation!$E$9</f>
        <v>73607.41080193418</v>
      </c>
      <c r="H78" s="441">
        <f>Debt!H73*Allocation!$E$9</f>
        <v>69960.871049361333</v>
      </c>
      <c r="I78" s="441">
        <f>Debt!I73*Allocation!$E$9</f>
        <v>65811.360296433617</v>
      </c>
      <c r="J78" s="441">
        <f>Debt!J73*Allocation!$E$9</f>
        <v>61259.47274322201</v>
      </c>
      <c r="K78" s="441">
        <f>Debt!K73*Allocation!$E$9</f>
        <v>56030.37066453258</v>
      </c>
      <c r="L78" s="441">
        <f>Debt!L73*Allocation!$E$9</f>
        <v>50342.008160519123</v>
      </c>
      <c r="M78" s="441">
        <f>Debt!M73*Allocation!$E$9</f>
        <v>44653.645656505665</v>
      </c>
      <c r="N78" s="441">
        <f>Debt!N73*Allocation!$E$9</f>
        <v>38965.2831524922</v>
      </c>
      <c r="O78" s="441">
        <f>Debt!O73*Allocation!$E$9</f>
        <v>33276.920648478743</v>
      </c>
      <c r="P78" s="441">
        <f>Debt!P73*Allocation!$E$9</f>
        <v>27304.140019264611</v>
      </c>
      <c r="Q78" s="441">
        <f>Debt!Q73*Allocation!$E$9</f>
        <v>21046.941264849804</v>
      </c>
      <c r="R78" s="441">
        <f>Debt!R73*Allocation!$E$9</f>
        <v>14789.742510434997</v>
      </c>
      <c r="S78" s="441">
        <f>Debt!S73*Allocation!$E$9</f>
        <v>9670.2162568228814</v>
      </c>
      <c r="T78" s="441">
        <f>Debt!T73*Allocation!$E$9</f>
        <v>4550.6900032107678</v>
      </c>
      <c r="U78" s="441">
        <f>Debt!U73*Allocation!$E$9</f>
        <v>-4.7923276758572062E-12</v>
      </c>
    </row>
    <row r="79" spans="1:44" outlineLevel="1">
      <c r="A79" s="224" t="s">
        <v>188</v>
      </c>
      <c r="B79" s="442">
        <f>SUM(B76:B78)</f>
        <v>167579.88729946944</v>
      </c>
      <c r="C79" s="442">
        <f t="shared" ref="C79:U79" si="20">SUM(C76:C78)</f>
        <v>163215.9936277073</v>
      </c>
      <c r="D79" s="442">
        <f t="shared" si="20"/>
        <v>158797.52006348348</v>
      </c>
      <c r="E79" s="442">
        <f t="shared" si="20"/>
        <v>148753.26101260079</v>
      </c>
      <c r="F79" s="442">
        <f t="shared" si="20"/>
        <v>138072.52428211927</v>
      </c>
      <c r="G79" s="442">
        <f t="shared" si="20"/>
        <v>127139.16513048913</v>
      </c>
      <c r="H79" s="442">
        <f t="shared" si="20"/>
        <v>118461.44964274498</v>
      </c>
      <c r="I79" s="442">
        <f t="shared" si="20"/>
        <v>110483.4887772697</v>
      </c>
      <c r="J79" s="442">
        <f t="shared" si="20"/>
        <v>102892.77067061563</v>
      </c>
      <c r="K79" s="442">
        <f t="shared" si="20"/>
        <v>94907.139217230404</v>
      </c>
      <c r="L79" s="442">
        <f t="shared" si="20"/>
        <v>87560.699086418084</v>
      </c>
      <c r="M79" s="442">
        <f t="shared" si="20"/>
        <v>80161.58418710425</v>
      </c>
      <c r="N79" s="442">
        <f t="shared" si="20"/>
        <v>72635.071608324623</v>
      </c>
      <c r="O79" s="442">
        <f t="shared" si="20"/>
        <v>64960.591618575076</v>
      </c>
      <c r="P79" s="442">
        <f t="shared" si="20"/>
        <v>57258.870234445138</v>
      </c>
      <c r="Q79" s="442">
        <f t="shared" si="20"/>
        <v>51393.347792723733</v>
      </c>
      <c r="R79" s="442">
        <f t="shared" si="20"/>
        <v>47342.260932965452</v>
      </c>
      <c r="S79" s="442">
        <f t="shared" si="20"/>
        <v>43296.148288744203</v>
      </c>
      <c r="T79" s="442">
        <f t="shared" si="20"/>
        <v>39255.890346508706</v>
      </c>
      <c r="U79" s="442">
        <f t="shared" si="20"/>
        <v>35222.320331259027</v>
      </c>
    </row>
    <row r="80" spans="1:44" outlineLevel="1">
      <c r="A80" s="443" t="s">
        <v>183</v>
      </c>
      <c r="B80" s="445">
        <f>Assumptions!$E$41</f>
        <v>2.5000000000000001E-3</v>
      </c>
      <c r="C80" s="445">
        <f>Assumptions!$E$42</f>
        <v>2.5000000000000001E-3</v>
      </c>
      <c r="D80" s="445">
        <f>Assumptions!$E$42</f>
        <v>2.5000000000000001E-3</v>
      </c>
      <c r="E80" s="445">
        <f>Assumptions!$E$42</f>
        <v>2.5000000000000001E-3</v>
      </c>
      <c r="F80" s="445">
        <f>Assumptions!$E$42</f>
        <v>2.5000000000000001E-3</v>
      </c>
      <c r="G80" s="445">
        <f>Assumptions!$E$42</f>
        <v>2.5000000000000001E-3</v>
      </c>
      <c r="H80" s="445">
        <f>Assumptions!$E$42</f>
        <v>2.5000000000000001E-3</v>
      </c>
      <c r="I80" s="445">
        <f>Assumptions!$E$42</f>
        <v>2.5000000000000001E-3</v>
      </c>
      <c r="J80" s="445">
        <f>Assumptions!$E$42</f>
        <v>2.5000000000000001E-3</v>
      </c>
      <c r="K80" s="445">
        <f>Assumptions!$E$42</f>
        <v>2.5000000000000001E-3</v>
      </c>
      <c r="L80" s="445">
        <f>Assumptions!$E$42</f>
        <v>2.5000000000000001E-3</v>
      </c>
      <c r="M80" s="445">
        <f>Assumptions!$E$42</f>
        <v>2.5000000000000001E-3</v>
      </c>
      <c r="N80" s="445">
        <f>Assumptions!$E$42</f>
        <v>2.5000000000000001E-3</v>
      </c>
      <c r="O80" s="445">
        <f>Assumptions!$E$42</f>
        <v>2.5000000000000001E-3</v>
      </c>
      <c r="P80" s="445">
        <f>Assumptions!$E$42</f>
        <v>2.5000000000000001E-3</v>
      </c>
      <c r="Q80" s="445">
        <f>Assumptions!$E$42</f>
        <v>2.5000000000000001E-3</v>
      </c>
      <c r="R80" s="445">
        <f>Assumptions!$E$42</f>
        <v>2.5000000000000001E-3</v>
      </c>
      <c r="S80" s="445">
        <f>Assumptions!$E$42</f>
        <v>2.5000000000000001E-3</v>
      </c>
      <c r="T80" s="445">
        <f>Assumptions!$E$42</f>
        <v>2.5000000000000001E-3</v>
      </c>
      <c r="U80" s="445">
        <f>Assumptions!$E$42</f>
        <v>2.5000000000000001E-3</v>
      </c>
    </row>
    <row r="81" spans="1:44" outlineLevel="1">
      <c r="A81" s="224" t="s">
        <v>184</v>
      </c>
      <c r="B81" s="461">
        <v>418.94971824867361</v>
      </c>
      <c r="C81" s="461">
        <v>408.03998406926826</v>
      </c>
      <c r="D81" s="461">
        <v>396.99380015870872</v>
      </c>
      <c r="E81" s="461">
        <v>371.88315253150199</v>
      </c>
      <c r="F81" s="461">
        <v>345.18131070529819</v>
      </c>
      <c r="G81" s="461">
        <v>317.84791282622285</v>
      </c>
      <c r="H81" s="461">
        <v>296.25902147616898</v>
      </c>
      <c r="I81" s="461">
        <v>276.34251224953175</v>
      </c>
      <c r="J81" s="461">
        <v>257.39496395576282</v>
      </c>
      <c r="K81" s="461">
        <v>237.46101191374248</v>
      </c>
      <c r="L81" s="461">
        <v>219.12594414697514</v>
      </c>
      <c r="M81" s="461">
        <v>200.66012256852613</v>
      </c>
      <c r="N81" s="461">
        <v>181.87676785595897</v>
      </c>
      <c r="O81" s="461">
        <v>162.7244844741364</v>
      </c>
      <c r="P81" s="461">
        <v>143.50511712196433</v>
      </c>
      <c r="Q81" s="461">
        <v>128.87729718856991</v>
      </c>
      <c r="R81" s="461">
        <v>118.78664773640924</v>
      </c>
      <c r="S81" s="461">
        <v>108.70954775689404</v>
      </c>
      <c r="T81" s="461">
        <v>98.648231845838936</v>
      </c>
      <c r="U81" s="461">
        <v>88.604817446982196</v>
      </c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outlineLevel="1">
      <c r="A82" s="443"/>
      <c r="B82" s="444"/>
      <c r="C82" s="444"/>
      <c r="D82" s="444"/>
      <c r="E82" s="444"/>
      <c r="F82" s="444"/>
      <c r="G82" s="444"/>
      <c r="H82" s="444"/>
      <c r="I82" s="444"/>
      <c r="J82" s="444"/>
      <c r="K82" s="444"/>
      <c r="L82" s="444"/>
      <c r="M82" s="444"/>
      <c r="N82" s="444"/>
      <c r="O82" s="444"/>
      <c r="P82" s="444"/>
      <c r="Q82" s="444"/>
      <c r="R82" s="444"/>
      <c r="S82" s="444"/>
      <c r="T82" s="444"/>
      <c r="U82" s="444"/>
    </row>
    <row r="83" spans="1:44" outlineLevel="1">
      <c r="A83" s="224"/>
      <c r="B83" s="247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44" outlineLevel="1">
      <c r="A84" s="225" t="s">
        <v>83</v>
      </c>
      <c r="B84" s="247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44" outlineLevel="1">
      <c r="A85" s="224"/>
      <c r="B85" s="247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44" outlineLevel="1">
      <c r="A86" s="21" t="s">
        <v>271</v>
      </c>
      <c r="B86" s="20">
        <f>B39-B12</f>
        <v>-1142.5497601817151</v>
      </c>
      <c r="C86" s="20">
        <f>C39-C12</f>
        <v>-1056.0894641751693</v>
      </c>
      <c r="D86" s="20">
        <f>D39-D12</f>
        <v>-911.82830741254475</v>
      </c>
      <c r="E86" s="20">
        <f t="shared" ref="E86:U86" si="21">E39</f>
        <v>9772.4572969168894</v>
      </c>
      <c r="F86" s="20">
        <f t="shared" si="21"/>
        <v>11439.065609593525</v>
      </c>
      <c r="G86" s="20">
        <f t="shared" si="21"/>
        <v>12117.555599524634</v>
      </c>
      <c r="H86" s="20">
        <f t="shared" si="21"/>
        <v>12841.577745525723</v>
      </c>
      <c r="I86" s="20">
        <f t="shared" si="21"/>
        <v>13585.389927246513</v>
      </c>
      <c r="J86" s="20">
        <f t="shared" si="21"/>
        <v>14440.746299876533</v>
      </c>
      <c r="K86" s="20">
        <f t="shared" si="21"/>
        <v>14789.219958856258</v>
      </c>
      <c r="L86" s="20">
        <f t="shared" si="21"/>
        <v>16071.638966276283</v>
      </c>
      <c r="M86" s="20">
        <f t="shared" si="21"/>
        <v>17432.665559150879</v>
      </c>
      <c r="N86" s="20">
        <f t="shared" si="21"/>
        <v>18759.377145322171</v>
      </c>
      <c r="O86" s="20">
        <f t="shared" si="21"/>
        <v>19950.056319015763</v>
      </c>
      <c r="P86" s="20">
        <f t="shared" si="21"/>
        <v>21157.687879945632</v>
      </c>
      <c r="Q86" s="20">
        <f t="shared" si="21"/>
        <v>22227.637948735035</v>
      </c>
      <c r="R86" s="20">
        <f t="shared" si="21"/>
        <v>23337.17832673149</v>
      </c>
      <c r="S86" s="20">
        <f t="shared" si="21"/>
        <v>24409.862625550108</v>
      </c>
      <c r="T86" s="20">
        <f t="shared" si="21"/>
        <v>25390.911599971641</v>
      </c>
      <c r="U86" s="20">
        <f t="shared" si="21"/>
        <v>26374.156540330863</v>
      </c>
      <c r="W86" s="420">
        <f>SUM(B86:U86)</f>
        <v>300986.71781680046</v>
      </c>
    </row>
    <row r="87" spans="1:44" outlineLevel="1">
      <c r="A87" s="21" t="s">
        <v>132</v>
      </c>
      <c r="B87" s="20">
        <f>B33</f>
        <v>6314.394134811977</v>
      </c>
      <c r="C87" s="20">
        <f t="shared" ref="C87:U87" si="22">C33</f>
        <v>6314.394134811977</v>
      </c>
      <c r="D87" s="20">
        <f t="shared" si="22"/>
        <v>6314.394134811977</v>
      </c>
      <c r="E87" s="20">
        <f t="shared" si="22"/>
        <v>6314.394134811977</v>
      </c>
      <c r="F87" s="20">
        <f t="shared" si="22"/>
        <v>6314.394134811977</v>
      </c>
      <c r="G87" s="20">
        <f t="shared" si="22"/>
        <v>6314.394134811977</v>
      </c>
      <c r="H87" s="20">
        <f t="shared" si="22"/>
        <v>6314.394134811977</v>
      </c>
      <c r="I87" s="20">
        <f t="shared" si="22"/>
        <v>6314.394134811977</v>
      </c>
      <c r="J87" s="20">
        <f t="shared" si="22"/>
        <v>6314.394134811977</v>
      </c>
      <c r="K87" s="20">
        <f t="shared" si="22"/>
        <v>6314.394134811977</v>
      </c>
      <c r="L87" s="20">
        <f t="shared" si="22"/>
        <v>6314.394134811977</v>
      </c>
      <c r="M87" s="20">
        <f t="shared" si="22"/>
        <v>6314.394134811977</v>
      </c>
      <c r="N87" s="20">
        <f t="shared" si="22"/>
        <v>6314.394134811977</v>
      </c>
      <c r="O87" s="20">
        <f t="shared" si="22"/>
        <v>6314.394134811977</v>
      </c>
      <c r="P87" s="20">
        <f t="shared" si="22"/>
        <v>6314.394134811977</v>
      </c>
      <c r="Q87" s="20">
        <f t="shared" si="22"/>
        <v>6314.394134811977</v>
      </c>
      <c r="R87" s="20">
        <f t="shared" si="22"/>
        <v>6314.394134811977</v>
      </c>
      <c r="S87" s="20">
        <f t="shared" si="22"/>
        <v>6314.394134811977</v>
      </c>
      <c r="T87" s="20">
        <f t="shared" si="22"/>
        <v>6314.394134811977</v>
      </c>
      <c r="U87" s="20">
        <f t="shared" si="22"/>
        <v>6314.394134811977</v>
      </c>
      <c r="W87" s="420">
        <f>SUM(B87:U87)</f>
        <v>126287.88269623948</v>
      </c>
    </row>
    <row r="88" spans="1:44" ht="15" outlineLevel="1">
      <c r="A88" s="21" t="s">
        <v>200</v>
      </c>
      <c r="B88" s="228">
        <f>-Depreciation!C81</f>
        <v>-9537.7266653231127</v>
      </c>
      <c r="C88" s="228">
        <f>-Depreciation!D81</f>
        <v>-18121.680664113916</v>
      </c>
      <c r="D88" s="228">
        <f>-Depreciation!E81</f>
        <v>-16309.512597702524</v>
      </c>
      <c r="E88" s="228">
        <f>-Depreciation!F81</f>
        <v>-14688.099064597593</v>
      </c>
      <c r="F88" s="228">
        <f>-Depreciation!G81</f>
        <v>-13219.289158137834</v>
      </c>
      <c r="G88" s="228">
        <f>-Depreciation!H81</f>
        <v>-11884.007424992598</v>
      </c>
      <c r="H88" s="228">
        <f>-Depreciation!I81</f>
        <v>-11254.517465081273</v>
      </c>
      <c r="I88" s="228">
        <f>-Depreciation!J81</f>
        <v>-11273.59291841192</v>
      </c>
      <c r="J88" s="228">
        <f>-Depreciation!K81</f>
        <v>-11254.517465081273</v>
      </c>
      <c r="K88" s="228">
        <f>-Depreciation!L81</f>
        <v>-11273.59291841192</v>
      </c>
      <c r="L88" s="228">
        <f>-Depreciation!M81</f>
        <v>-11254.517465081273</v>
      </c>
      <c r="M88" s="228">
        <f>-Depreciation!N81</f>
        <v>-11273.59291841192</v>
      </c>
      <c r="N88" s="228">
        <f>-Depreciation!O81</f>
        <v>-11254.517465081273</v>
      </c>
      <c r="O88" s="228">
        <f>-Depreciation!P81</f>
        <v>-11273.59291841192</v>
      </c>
      <c r="P88" s="228">
        <f>-Depreciation!Q81</f>
        <v>-11254.517465081273</v>
      </c>
      <c r="Q88" s="228">
        <f>-Depreciation!R81</f>
        <v>-5627.2587325406366</v>
      </c>
      <c r="R88" s="228">
        <f>-Depreciation!S81</f>
        <v>0</v>
      </c>
      <c r="S88" s="228">
        <f>-Depreciation!T81</f>
        <v>0</v>
      </c>
      <c r="T88" s="228">
        <f>-Depreciation!U81</f>
        <v>0</v>
      </c>
      <c r="U88" s="228">
        <f>-Depreciation!V81</f>
        <v>0</v>
      </c>
      <c r="W88" s="421">
        <f>SUM(B88:U88)</f>
        <v>-190754.53330646222</v>
      </c>
    </row>
    <row r="89" spans="1:44" outlineLevel="1">
      <c r="A89" s="227" t="s">
        <v>131</v>
      </c>
      <c r="B89" s="22">
        <f t="shared" ref="B89:U89" si="23">SUM(B86:B88)</f>
        <v>-4365.8822906928508</v>
      </c>
      <c r="C89" s="22">
        <f t="shared" si="23"/>
        <v>-12863.375993477108</v>
      </c>
      <c r="D89" s="22">
        <f t="shared" si="23"/>
        <v>-10906.946770303091</v>
      </c>
      <c r="E89" s="22">
        <f t="shared" si="23"/>
        <v>1398.7523671312738</v>
      </c>
      <c r="F89" s="22">
        <f t="shared" si="23"/>
        <v>4534.1705862676699</v>
      </c>
      <c r="G89" s="22">
        <f t="shared" si="23"/>
        <v>6547.9423093440109</v>
      </c>
      <c r="H89" s="22">
        <f t="shared" si="23"/>
        <v>7901.4544152564267</v>
      </c>
      <c r="I89" s="22">
        <f t="shared" si="23"/>
        <v>8626.1911436465707</v>
      </c>
      <c r="J89" s="22">
        <f t="shared" si="23"/>
        <v>9500.6229696072369</v>
      </c>
      <c r="K89" s="22">
        <f t="shared" si="23"/>
        <v>9830.0211752563155</v>
      </c>
      <c r="L89" s="22">
        <f t="shared" si="23"/>
        <v>11131.515636006985</v>
      </c>
      <c r="M89" s="22">
        <f t="shared" si="23"/>
        <v>12473.466775550936</v>
      </c>
      <c r="N89" s="22">
        <f t="shared" si="23"/>
        <v>13819.253815052874</v>
      </c>
      <c r="O89" s="22">
        <f t="shared" si="23"/>
        <v>14990.85753541582</v>
      </c>
      <c r="P89" s="22">
        <f t="shared" si="23"/>
        <v>16217.564549676335</v>
      </c>
      <c r="Q89" s="22">
        <f t="shared" si="23"/>
        <v>22914.773351006377</v>
      </c>
      <c r="R89" s="22">
        <f t="shared" si="23"/>
        <v>29651.572461543466</v>
      </c>
      <c r="S89" s="22">
        <f t="shared" si="23"/>
        <v>30724.256760362085</v>
      </c>
      <c r="T89" s="22">
        <f t="shared" si="23"/>
        <v>31705.305734783618</v>
      </c>
      <c r="U89" s="22">
        <f t="shared" si="23"/>
        <v>32688.55067514284</v>
      </c>
      <c r="W89" s="420">
        <f>SUM(B89:U89)</f>
        <v>236520.06720657778</v>
      </c>
    </row>
    <row r="90" spans="1:44" outlineLevel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44" outlineLevel="1">
      <c r="A91" s="21" t="s">
        <v>39</v>
      </c>
      <c r="B91" s="418">
        <f>Assumptions!$E$38</f>
        <v>0.05</v>
      </c>
      <c r="C91" s="418">
        <f>Assumptions!$E$38</f>
        <v>0.05</v>
      </c>
      <c r="D91" s="418">
        <f>Assumptions!$E$38</f>
        <v>0.05</v>
      </c>
      <c r="E91" s="418">
        <f>Assumptions!$E$38</f>
        <v>0.05</v>
      </c>
      <c r="F91" s="418">
        <f>Assumptions!$E$38</f>
        <v>0.05</v>
      </c>
      <c r="G91" s="418">
        <f>Assumptions!$E$38</f>
        <v>0.05</v>
      </c>
      <c r="H91" s="418">
        <f>Assumptions!$E$38</f>
        <v>0.05</v>
      </c>
      <c r="I91" s="418">
        <f>Assumptions!$E$38</f>
        <v>0.05</v>
      </c>
      <c r="J91" s="418">
        <f>Assumptions!$E$38</f>
        <v>0.05</v>
      </c>
      <c r="K91" s="418">
        <f>Assumptions!$E$38</f>
        <v>0.05</v>
      </c>
      <c r="L91" s="418">
        <f>Assumptions!$E$38</f>
        <v>0.05</v>
      </c>
      <c r="M91" s="418">
        <f>Assumptions!$E$38</f>
        <v>0.05</v>
      </c>
      <c r="N91" s="418">
        <f>Assumptions!$E$38</f>
        <v>0.05</v>
      </c>
      <c r="O91" s="418">
        <f>Assumptions!$E$38</f>
        <v>0.05</v>
      </c>
      <c r="P91" s="418">
        <f>Assumptions!$E$38</f>
        <v>0.05</v>
      </c>
      <c r="Q91" s="418">
        <f>Assumptions!$E$38</f>
        <v>0.05</v>
      </c>
      <c r="R91" s="418">
        <f>Assumptions!$E$38</f>
        <v>0.05</v>
      </c>
      <c r="S91" s="418">
        <f>Assumptions!$E$38</f>
        <v>0.05</v>
      </c>
      <c r="T91" s="418">
        <f>Assumptions!$E$38</f>
        <v>0.05</v>
      </c>
      <c r="U91" s="418">
        <f>Assumptions!$E$38</f>
        <v>0.05</v>
      </c>
    </row>
    <row r="92" spans="1:44" outlineLevel="1">
      <c r="A92" s="21" t="s">
        <v>133</v>
      </c>
      <c r="B92" s="20">
        <f>B89*B91</f>
        <v>-218.29411453464255</v>
      </c>
      <c r="C92" s="20">
        <f t="shared" ref="C92:U92" si="24">C89*C91</f>
        <v>-643.16879967385546</v>
      </c>
      <c r="D92" s="20">
        <f t="shared" si="24"/>
        <v>-545.34733851515455</v>
      </c>
      <c r="E92" s="20">
        <f t="shared" si="24"/>
        <v>69.937618356563689</v>
      </c>
      <c r="F92" s="20">
        <f t="shared" si="24"/>
        <v>226.70852931338351</v>
      </c>
      <c r="G92" s="20">
        <f t="shared" si="24"/>
        <v>327.39711546720059</v>
      </c>
      <c r="H92" s="20">
        <f t="shared" si="24"/>
        <v>395.07272076282135</v>
      </c>
      <c r="I92" s="20">
        <f t="shared" si="24"/>
        <v>431.30955718232855</v>
      </c>
      <c r="J92" s="20">
        <f t="shared" si="24"/>
        <v>475.03114848036188</v>
      </c>
      <c r="K92" s="20">
        <f t="shared" si="24"/>
        <v>491.50105876281577</v>
      </c>
      <c r="L92" s="20">
        <f t="shared" si="24"/>
        <v>556.57578180034932</v>
      </c>
      <c r="M92" s="20">
        <f t="shared" si="24"/>
        <v>623.67333877754686</v>
      </c>
      <c r="N92" s="20">
        <f t="shared" si="24"/>
        <v>690.96269075264377</v>
      </c>
      <c r="O92" s="20">
        <f t="shared" si="24"/>
        <v>749.54287677079105</v>
      </c>
      <c r="P92" s="20">
        <f t="shared" si="24"/>
        <v>810.87822748381677</v>
      </c>
      <c r="Q92" s="20">
        <f t="shared" si="24"/>
        <v>1145.738667550319</v>
      </c>
      <c r="R92" s="20">
        <f t="shared" si="24"/>
        <v>1482.5786230771735</v>
      </c>
      <c r="S92" s="20">
        <f t="shared" si="24"/>
        <v>1536.2128380181043</v>
      </c>
      <c r="T92" s="20">
        <f t="shared" si="24"/>
        <v>1585.265286739181</v>
      </c>
      <c r="U92" s="20">
        <f t="shared" si="24"/>
        <v>1634.4275337571421</v>
      </c>
    </row>
    <row r="93" spans="1:44" outlineLevel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 outlineLevel="1">
      <c r="A94" s="21" t="s">
        <v>134</v>
      </c>
      <c r="B94" s="20">
        <v>0</v>
      </c>
      <c r="C94" s="20">
        <f t="shared" ref="C94:U94" si="25">B98</f>
        <v>218.29411453464255</v>
      </c>
      <c r="D94" s="20">
        <f t="shared" si="25"/>
        <v>861.46291420849798</v>
      </c>
      <c r="E94" s="20">
        <f t="shared" si="25"/>
        <v>1406.8102527236524</v>
      </c>
      <c r="F94" s="20">
        <f t="shared" si="25"/>
        <v>1336.8726343670887</v>
      </c>
      <c r="G94" s="20">
        <f t="shared" si="25"/>
        <v>1110.1641050537053</v>
      </c>
      <c r="H94" s="20">
        <f t="shared" si="25"/>
        <v>782.76698958650468</v>
      </c>
      <c r="I94" s="20">
        <f t="shared" si="25"/>
        <v>387.69426882368333</v>
      </c>
      <c r="J94" s="20">
        <f t="shared" si="25"/>
        <v>0</v>
      </c>
      <c r="K94" s="20">
        <f t="shared" si="25"/>
        <v>0</v>
      </c>
      <c r="L94" s="20">
        <f t="shared" si="25"/>
        <v>0</v>
      </c>
      <c r="M94" s="20">
        <f t="shared" si="25"/>
        <v>0</v>
      </c>
      <c r="N94" s="20">
        <f>M98</f>
        <v>0</v>
      </c>
      <c r="O94" s="20">
        <f t="shared" si="25"/>
        <v>0</v>
      </c>
      <c r="P94" s="20">
        <f t="shared" si="25"/>
        <v>0</v>
      </c>
      <c r="Q94" s="20">
        <f t="shared" si="25"/>
        <v>0</v>
      </c>
      <c r="R94" s="20">
        <v>0</v>
      </c>
      <c r="S94" s="20">
        <f t="shared" si="25"/>
        <v>0</v>
      </c>
      <c r="T94" s="20">
        <f t="shared" si="25"/>
        <v>0</v>
      </c>
      <c r="U94" s="20">
        <f t="shared" si="25"/>
        <v>0</v>
      </c>
    </row>
    <row r="95" spans="1:44" outlineLevel="1">
      <c r="A95" s="21" t="s">
        <v>135</v>
      </c>
      <c r="B95" s="239">
        <f t="shared" ref="B95:U95" si="26">IF(B68&gt;2020,0,IF(B92&lt;0,-B92,0))</f>
        <v>218.29411453464255</v>
      </c>
      <c r="C95" s="239">
        <f t="shared" si="26"/>
        <v>643.16879967385546</v>
      </c>
      <c r="D95" s="239">
        <f t="shared" si="26"/>
        <v>545.34733851515455</v>
      </c>
      <c r="E95" s="239">
        <f t="shared" si="26"/>
        <v>0</v>
      </c>
      <c r="F95" s="239">
        <f t="shared" si="26"/>
        <v>0</v>
      </c>
      <c r="G95" s="239">
        <f t="shared" si="26"/>
        <v>0</v>
      </c>
      <c r="H95" s="239">
        <f t="shared" si="26"/>
        <v>0</v>
      </c>
      <c r="I95" s="239">
        <f t="shared" si="26"/>
        <v>0</v>
      </c>
      <c r="J95" s="239">
        <f t="shared" si="26"/>
        <v>0</v>
      </c>
      <c r="K95" s="239">
        <f t="shared" si="26"/>
        <v>0</v>
      </c>
      <c r="L95" s="239">
        <f t="shared" si="26"/>
        <v>0</v>
      </c>
      <c r="M95" s="239">
        <f t="shared" si="26"/>
        <v>0</v>
      </c>
      <c r="N95" s="239">
        <f t="shared" si="26"/>
        <v>0</v>
      </c>
      <c r="O95" s="239">
        <f t="shared" si="26"/>
        <v>0</v>
      </c>
      <c r="P95" s="239">
        <f t="shared" si="26"/>
        <v>0</v>
      </c>
      <c r="Q95" s="239">
        <f t="shared" si="26"/>
        <v>0</v>
      </c>
      <c r="R95" s="239">
        <f t="shared" si="26"/>
        <v>0</v>
      </c>
      <c r="S95" s="239">
        <f t="shared" si="26"/>
        <v>0</v>
      </c>
      <c r="T95" s="239">
        <f t="shared" si="26"/>
        <v>0</v>
      </c>
      <c r="U95" s="239">
        <f t="shared" si="26"/>
        <v>0</v>
      </c>
    </row>
    <row r="96" spans="1:44" outlineLevel="1">
      <c r="A96" s="21" t="s">
        <v>136</v>
      </c>
      <c r="B96" s="229">
        <v>0</v>
      </c>
      <c r="C96" s="229">
        <v>0</v>
      </c>
      <c r="D96" s="229">
        <v>0</v>
      </c>
      <c r="E96" s="229">
        <v>0</v>
      </c>
      <c r="F96" s="229">
        <v>0</v>
      </c>
      <c r="G96" s="229">
        <v>0</v>
      </c>
      <c r="H96" s="229">
        <v>0</v>
      </c>
      <c r="I96" s="229">
        <v>0</v>
      </c>
      <c r="J96" s="229">
        <v>0</v>
      </c>
      <c r="K96" s="229">
        <v>0</v>
      </c>
      <c r="L96" s="229">
        <v>0</v>
      </c>
      <c r="M96" s="229">
        <v>0</v>
      </c>
      <c r="N96" s="229">
        <v>0</v>
      </c>
      <c r="O96" s="229">
        <v>0</v>
      </c>
      <c r="P96" s="229">
        <v>0</v>
      </c>
      <c r="Q96" s="229">
        <v>0</v>
      </c>
      <c r="R96" s="229">
        <v>0</v>
      </c>
      <c r="S96" s="229">
        <v>0</v>
      </c>
      <c r="T96" s="20">
        <f>IF(L95&gt;(SUM(M97:S97)+SUM(L96:S96))*-1,L95-(SUM(L97:S97)+SUM(L96:S96))*-1,0)</f>
        <v>0</v>
      </c>
      <c r="U96" s="20">
        <f>IF(M95&gt;(SUM(N97:T97)+SUM(M96:T96))*-1,M95-(SUM(M97:T97)+SUM(M96:T96))*-1,0)</f>
        <v>0</v>
      </c>
    </row>
    <row r="97" spans="1:23" outlineLevel="1">
      <c r="A97" s="17" t="s">
        <v>137</v>
      </c>
      <c r="B97" s="230">
        <f t="shared" ref="B97:T97" si="27">IF(B92&lt;0,0,IF(B94&gt;B92,-B92,-B94))</f>
        <v>0</v>
      </c>
      <c r="C97" s="230">
        <f t="shared" si="27"/>
        <v>0</v>
      </c>
      <c r="D97" s="230">
        <f t="shared" si="27"/>
        <v>0</v>
      </c>
      <c r="E97" s="230">
        <f t="shared" si="27"/>
        <v>-69.937618356563689</v>
      </c>
      <c r="F97" s="230">
        <f t="shared" si="27"/>
        <v>-226.70852931338351</v>
      </c>
      <c r="G97" s="230">
        <f t="shared" si="27"/>
        <v>-327.39711546720059</v>
      </c>
      <c r="H97" s="230">
        <f t="shared" si="27"/>
        <v>-395.07272076282135</v>
      </c>
      <c r="I97" s="230">
        <f t="shared" si="27"/>
        <v>-387.69426882368333</v>
      </c>
      <c r="J97" s="230">
        <f t="shared" si="27"/>
        <v>0</v>
      </c>
      <c r="K97" s="230">
        <f t="shared" si="27"/>
        <v>0</v>
      </c>
      <c r="L97" s="230">
        <f t="shared" si="27"/>
        <v>0</v>
      </c>
      <c r="M97" s="230">
        <f t="shared" si="27"/>
        <v>0</v>
      </c>
      <c r="N97" s="230">
        <f t="shared" si="27"/>
        <v>0</v>
      </c>
      <c r="O97" s="230">
        <f t="shared" si="27"/>
        <v>0</v>
      </c>
      <c r="P97" s="230">
        <f t="shared" si="27"/>
        <v>0</v>
      </c>
      <c r="Q97" s="230">
        <f t="shared" si="27"/>
        <v>0</v>
      </c>
      <c r="R97" s="230">
        <f t="shared" si="27"/>
        <v>0</v>
      </c>
      <c r="S97" s="230">
        <f t="shared" si="27"/>
        <v>0</v>
      </c>
      <c r="T97" s="230">
        <f t="shared" si="27"/>
        <v>0</v>
      </c>
      <c r="U97" s="230">
        <f>IF(U92&lt;0,0,IF(U94&gt;U92,-U92,-U94))</f>
        <v>0</v>
      </c>
    </row>
    <row r="98" spans="1:23" outlineLevel="1">
      <c r="A98" s="17" t="s">
        <v>138</v>
      </c>
      <c r="B98" s="230">
        <f t="shared" ref="B98:U98" si="28">SUM(B94:B97)</f>
        <v>218.29411453464255</v>
      </c>
      <c r="C98" s="230">
        <f t="shared" si="28"/>
        <v>861.46291420849798</v>
      </c>
      <c r="D98" s="230">
        <f t="shared" si="28"/>
        <v>1406.8102527236524</v>
      </c>
      <c r="E98" s="230">
        <f t="shared" si="28"/>
        <v>1336.8726343670887</v>
      </c>
      <c r="F98" s="230">
        <f t="shared" si="28"/>
        <v>1110.1641050537053</v>
      </c>
      <c r="G98" s="230">
        <f t="shared" si="28"/>
        <v>782.76698958650468</v>
      </c>
      <c r="H98" s="230">
        <f t="shared" si="28"/>
        <v>387.69426882368333</v>
      </c>
      <c r="I98" s="230">
        <f t="shared" si="28"/>
        <v>0</v>
      </c>
      <c r="J98" s="230">
        <f t="shared" si="28"/>
        <v>0</v>
      </c>
      <c r="K98" s="230">
        <f t="shared" si="28"/>
        <v>0</v>
      </c>
      <c r="L98" s="230">
        <f t="shared" si="28"/>
        <v>0</v>
      </c>
      <c r="M98" s="230">
        <f t="shared" si="28"/>
        <v>0</v>
      </c>
      <c r="N98" s="230">
        <f t="shared" si="28"/>
        <v>0</v>
      </c>
      <c r="O98" s="230">
        <f t="shared" si="28"/>
        <v>0</v>
      </c>
      <c r="P98" s="230">
        <f t="shared" si="28"/>
        <v>0</v>
      </c>
      <c r="Q98" s="230">
        <f t="shared" si="28"/>
        <v>0</v>
      </c>
      <c r="R98" s="230">
        <f t="shared" si="28"/>
        <v>0</v>
      </c>
      <c r="S98" s="230">
        <f t="shared" si="28"/>
        <v>0</v>
      </c>
      <c r="T98" s="230">
        <f t="shared" si="28"/>
        <v>0</v>
      </c>
      <c r="U98" s="230">
        <f t="shared" si="28"/>
        <v>0</v>
      </c>
    </row>
    <row r="99" spans="1:23" outlineLevel="1">
      <c r="A99" s="17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3" ht="13.5" outlineLevel="1" thickBot="1">
      <c r="A100" s="32" t="s">
        <v>130</v>
      </c>
      <c r="B100" s="327">
        <f t="shared" ref="B100:U100" si="29">IF(B92&lt;0,0,B92+B97)</f>
        <v>0</v>
      </c>
      <c r="C100" s="327">
        <f t="shared" si="29"/>
        <v>0</v>
      </c>
      <c r="D100" s="327">
        <f t="shared" si="29"/>
        <v>0</v>
      </c>
      <c r="E100" s="327">
        <f t="shared" si="29"/>
        <v>0</v>
      </c>
      <c r="F100" s="327">
        <f t="shared" si="29"/>
        <v>0</v>
      </c>
      <c r="G100" s="327">
        <f t="shared" si="29"/>
        <v>0</v>
      </c>
      <c r="H100" s="327">
        <f t="shared" si="29"/>
        <v>0</v>
      </c>
      <c r="I100" s="327">
        <f t="shared" si="29"/>
        <v>43.615288358645216</v>
      </c>
      <c r="J100" s="327">
        <f t="shared" si="29"/>
        <v>475.03114848036188</v>
      </c>
      <c r="K100" s="327">
        <f t="shared" si="29"/>
        <v>491.50105876281577</v>
      </c>
      <c r="L100" s="327">
        <f t="shared" si="29"/>
        <v>556.57578180034932</v>
      </c>
      <c r="M100" s="327">
        <f t="shared" si="29"/>
        <v>623.67333877754686</v>
      </c>
      <c r="N100" s="327">
        <f t="shared" si="29"/>
        <v>690.96269075264377</v>
      </c>
      <c r="O100" s="327">
        <f t="shared" si="29"/>
        <v>749.54287677079105</v>
      </c>
      <c r="P100" s="327">
        <f t="shared" si="29"/>
        <v>810.87822748381677</v>
      </c>
      <c r="Q100" s="327">
        <f t="shared" si="29"/>
        <v>1145.738667550319</v>
      </c>
      <c r="R100" s="327">
        <f t="shared" si="29"/>
        <v>1482.5786230771735</v>
      </c>
      <c r="S100" s="327">
        <f t="shared" si="29"/>
        <v>1536.2128380181043</v>
      </c>
      <c r="T100" s="327">
        <f t="shared" si="29"/>
        <v>1585.265286739181</v>
      </c>
      <c r="U100" s="327">
        <f t="shared" si="29"/>
        <v>1634.4275337571421</v>
      </c>
      <c r="W100" s="420">
        <f>SUM(B100:U100)</f>
        <v>11826.003360328888</v>
      </c>
    </row>
    <row r="101" spans="1:23" outlineLevel="1">
      <c r="A101" s="7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59"/>
      <c r="M101" s="59"/>
      <c r="N101" s="59"/>
      <c r="O101" s="59"/>
      <c r="P101" s="59"/>
      <c r="Q101" s="59"/>
      <c r="R101" s="59"/>
      <c r="S101" s="59"/>
      <c r="T101" s="59"/>
      <c r="U101" s="59"/>
    </row>
    <row r="102" spans="1:23" ht="15.75" outlineLevel="1">
      <c r="A102" s="72"/>
      <c r="B102" s="7"/>
      <c r="C102" s="73"/>
      <c r="D102" s="7"/>
      <c r="E102" s="7"/>
      <c r="F102" s="7"/>
      <c r="G102" s="7"/>
      <c r="H102" s="7"/>
      <c r="I102" s="7"/>
      <c r="J102" s="7"/>
      <c r="K102" s="7"/>
      <c r="L102" s="59"/>
      <c r="M102" s="59"/>
      <c r="N102" s="59"/>
      <c r="O102" s="59"/>
      <c r="P102" s="59"/>
      <c r="Q102" s="59"/>
      <c r="R102" s="59"/>
      <c r="S102" s="59"/>
      <c r="T102" s="59"/>
      <c r="U102" s="59"/>
    </row>
    <row r="103" spans="1:23" outlineLevel="1">
      <c r="A103" s="57"/>
      <c r="B103" s="73"/>
      <c r="C103" s="76"/>
      <c r="D103" s="77"/>
      <c r="E103" s="77"/>
      <c r="F103" s="77"/>
      <c r="G103" s="77"/>
      <c r="H103" s="77"/>
      <c r="I103" s="77"/>
      <c r="J103" s="77"/>
      <c r="K103" s="77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outlineLevel="1">
      <c r="A104" s="519"/>
      <c r="B104" s="519"/>
      <c r="C104" s="519"/>
      <c r="D104" s="519"/>
      <c r="E104" s="519"/>
      <c r="F104" s="519"/>
      <c r="G104" s="519"/>
      <c r="H104" s="519"/>
      <c r="I104" s="519"/>
      <c r="J104" s="519"/>
      <c r="K104" s="519"/>
      <c r="L104" s="519"/>
      <c r="M104" s="519"/>
      <c r="N104" s="519"/>
      <c r="O104" s="519"/>
      <c r="P104" s="519"/>
      <c r="Q104" s="519"/>
      <c r="R104" s="519"/>
      <c r="S104" s="519"/>
      <c r="T104" s="519"/>
      <c r="U104" s="519"/>
    </row>
    <row r="105" spans="1:23" outlineLevel="1">
      <c r="A105" s="7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outlineLevel="1">
      <c r="A106" s="522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523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outlineLevel="1">
      <c r="A108" s="7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57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5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ht="14.25" outlineLevel="1">
      <c r="A113" s="75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8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81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2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2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82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8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ht="15" customHeight="1" outlineLevel="1">
      <c r="A137" s="80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80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ht="14.25" customHeight="1" outlineLevel="1">
      <c r="A139" s="80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80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80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83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83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outlineLevel="1">
      <c r="A144" s="83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outlineLevel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 outlineLevel="1">
      <c r="A146" s="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 outlineLevel="1">
      <c r="A147" s="7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 outlineLevel="1">
      <c r="A148" s="7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 ht="18.75" outlineLevel="1">
      <c r="A149" s="84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1:21" outlineLevel="1">
      <c r="A150" s="57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1:21" outlineLevel="1">
      <c r="A151" s="57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1:21" outlineLevel="1">
      <c r="A152" s="7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1:21" outlineLevel="1">
      <c r="A153" s="7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1:21" outlineLevel="1">
      <c r="A154" s="2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8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69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7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7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9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6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80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6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80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80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82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78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78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9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79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1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79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2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82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 outlineLevel="1">
      <c r="A187" s="79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 outlineLevel="1">
      <c r="A188" s="79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 outlineLevel="1">
      <c r="A189" s="78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 outlineLevel="1">
      <c r="A190" s="80"/>
      <c r="B190" s="69"/>
      <c r="C190" s="6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</row>
    <row r="191" spans="1:21" outlineLevel="1">
      <c r="A191" s="80"/>
      <c r="B191" s="69"/>
      <c r="C191" s="6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</row>
    <row r="192" spans="1:21" outlineLevel="1">
      <c r="A192" s="80"/>
      <c r="B192" s="69"/>
      <c r="C192" s="6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</row>
    <row r="193" spans="1:21" outlineLevel="1">
      <c r="A193" s="80"/>
      <c r="B193" s="69"/>
      <c r="C193" s="6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</row>
    <row r="194" spans="1:21" outlineLevel="1">
      <c r="A194" s="80"/>
      <c r="B194" s="69"/>
      <c r="C194" s="6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</row>
    <row r="195" spans="1:21" outlineLevel="1">
      <c r="A195" s="80"/>
      <c r="B195" s="69"/>
      <c r="C195" s="6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</row>
    <row r="196" spans="1:21" outlineLevel="1">
      <c r="A196" s="80"/>
      <c r="B196" s="69"/>
      <c r="C196" s="6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</row>
    <row r="197" spans="1:21" outlineLevel="1">
      <c r="A197" s="7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</row>
    <row r="198" spans="1:21" outlineLevel="1">
      <c r="A198" s="7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</row>
    <row r="199" spans="1:21" outlineLevel="1">
      <c r="A199" s="7"/>
      <c r="B199" s="7"/>
      <c r="C199" s="7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 spans="1:21" ht="18.75" outlineLevel="1">
      <c r="A200" s="8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5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2"/>
      <c r="B204" s="9"/>
      <c r="C204" s="9"/>
      <c r="D204" s="9"/>
      <c r="E204" s="9"/>
      <c r="F204" s="9"/>
      <c r="G204" s="9"/>
      <c r="H204" s="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6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86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6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6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6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57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7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7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86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86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86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86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86"/>
      <c r="B240" s="87"/>
      <c r="C240" s="87"/>
      <c r="D240" s="87"/>
      <c r="E240" s="87"/>
      <c r="F240" s="87"/>
      <c r="G240" s="87"/>
      <c r="H240" s="87"/>
      <c r="I240" s="7"/>
      <c r="J240" s="8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86"/>
      <c r="B241" s="87"/>
      <c r="C241" s="87"/>
      <c r="D241" s="87"/>
      <c r="E241" s="87"/>
      <c r="F241" s="87"/>
      <c r="G241" s="87"/>
      <c r="H241" s="87"/>
      <c r="I241" s="7"/>
      <c r="J241" s="8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57"/>
      <c r="B242" s="87"/>
      <c r="C242" s="87"/>
      <c r="D242" s="87"/>
      <c r="E242" s="87"/>
      <c r="F242" s="87"/>
      <c r="G242" s="87"/>
      <c r="H242" s="87"/>
      <c r="I242" s="7"/>
      <c r="J242" s="8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87"/>
      <c r="C243" s="87"/>
      <c r="D243" s="87"/>
      <c r="E243" s="87"/>
      <c r="F243" s="87"/>
      <c r="G243" s="87"/>
      <c r="H243" s="87"/>
      <c r="I243" s="7"/>
      <c r="J243" s="8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87"/>
      <c r="C244" s="87"/>
      <c r="D244" s="87"/>
      <c r="E244" s="87"/>
      <c r="F244" s="87"/>
      <c r="G244" s="87"/>
      <c r="H244" s="87"/>
      <c r="I244" s="7"/>
      <c r="J244" s="8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57"/>
      <c r="B245" s="87"/>
      <c r="C245" s="87"/>
      <c r="D245" s="87"/>
      <c r="E245" s="87"/>
      <c r="F245" s="87"/>
      <c r="G245" s="87"/>
      <c r="H245" s="87"/>
      <c r="I245" s="7"/>
      <c r="J245" s="8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57"/>
      <c r="B246" s="87"/>
      <c r="C246" s="87"/>
      <c r="D246" s="87"/>
      <c r="E246" s="87"/>
      <c r="F246" s="87"/>
      <c r="G246" s="87"/>
      <c r="H246" s="87"/>
      <c r="I246" s="7"/>
      <c r="J246" s="8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7"/>
      <c r="C248" s="59"/>
      <c r="D248" s="59"/>
      <c r="E248" s="59"/>
      <c r="F248" s="59"/>
      <c r="G248" s="59"/>
      <c r="H248" s="5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59"/>
      <c r="D249" s="59"/>
      <c r="E249" s="59"/>
      <c r="F249" s="59"/>
      <c r="G249" s="59"/>
      <c r="H249" s="5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57"/>
      <c r="B250" s="7"/>
      <c r="C250" s="59"/>
      <c r="D250" s="59"/>
      <c r="E250" s="59"/>
      <c r="F250" s="59"/>
      <c r="G250" s="59"/>
      <c r="H250" s="5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59"/>
      <c r="D251" s="59"/>
      <c r="E251" s="59"/>
      <c r="F251" s="59"/>
      <c r="G251" s="59"/>
      <c r="H251" s="5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8.75" outlineLevel="1">
      <c r="A253" s="8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s="90" customFormat="1" outlineLevel="1">
      <c r="A257" s="89"/>
    </row>
    <row r="258" spans="1:21" outlineLevel="1">
      <c r="A258" s="5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7"/>
      <c r="C259" s="91"/>
      <c r="D259" s="91"/>
      <c r="E259" s="91"/>
      <c r="F259" s="91"/>
      <c r="G259" s="91"/>
      <c r="H259" s="91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7"/>
      <c r="C260" s="91"/>
      <c r="D260" s="91"/>
      <c r="E260" s="91"/>
      <c r="F260" s="91"/>
      <c r="G260" s="91"/>
      <c r="H260" s="91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93"/>
      <c r="D261" s="93"/>
      <c r="E261" s="93"/>
      <c r="F261" s="93"/>
      <c r="G261" s="93"/>
      <c r="H261" s="93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8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94"/>
      <c r="B264" s="7"/>
      <c r="C264" s="59"/>
      <c r="D264" s="59"/>
      <c r="E264" s="59"/>
      <c r="F264" s="59"/>
      <c r="G264" s="59"/>
      <c r="H264" s="5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94"/>
      <c r="B265" s="7"/>
      <c r="C265" s="59"/>
      <c r="D265" s="59"/>
      <c r="E265" s="59"/>
      <c r="F265" s="59"/>
      <c r="G265" s="59"/>
      <c r="H265" s="5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94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94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94"/>
      <c r="B268" s="7"/>
      <c r="C268" s="91"/>
      <c r="D268" s="91"/>
      <c r="E268" s="91"/>
      <c r="F268" s="91"/>
      <c r="G268" s="91"/>
      <c r="H268" s="91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57"/>
      <c r="B269" s="7"/>
      <c r="C269" s="95"/>
      <c r="D269" s="95"/>
      <c r="E269" s="95"/>
      <c r="F269" s="95"/>
      <c r="G269" s="95"/>
      <c r="H269" s="9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94"/>
      <c r="B270" s="7"/>
      <c r="C270" s="96"/>
      <c r="D270" s="96"/>
      <c r="E270" s="96"/>
      <c r="F270" s="96"/>
      <c r="G270" s="96"/>
      <c r="H270" s="9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94"/>
      <c r="B271" s="7"/>
      <c r="C271" s="96"/>
      <c r="D271" s="96"/>
      <c r="E271" s="96"/>
      <c r="F271" s="96"/>
      <c r="G271" s="96"/>
      <c r="H271" s="9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6"/>
      <c r="D272" s="96"/>
      <c r="E272" s="96"/>
      <c r="F272" s="96"/>
      <c r="G272" s="96"/>
      <c r="H272" s="9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6"/>
      <c r="D273" s="96"/>
      <c r="E273" s="96"/>
      <c r="F273" s="96"/>
      <c r="G273" s="96"/>
      <c r="H273" s="9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7"/>
      <c r="C274" s="95"/>
      <c r="D274" s="95"/>
      <c r="E274" s="95"/>
      <c r="F274" s="95"/>
      <c r="G274" s="95"/>
      <c r="H274" s="95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5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59"/>
      <c r="D276" s="59"/>
      <c r="E276" s="59"/>
      <c r="F276" s="59"/>
      <c r="G276" s="59"/>
      <c r="H276" s="5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59"/>
      <c r="D277" s="59"/>
      <c r="E277" s="59"/>
      <c r="F277" s="59"/>
      <c r="G277" s="59"/>
      <c r="H277" s="5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59"/>
      <c r="D278" s="59"/>
      <c r="E278" s="59"/>
      <c r="F278" s="59"/>
      <c r="G278" s="59"/>
      <c r="H278" s="5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97"/>
      <c r="C279" s="59"/>
      <c r="D279" s="59"/>
      <c r="E279" s="59"/>
      <c r="F279" s="59"/>
      <c r="G279" s="59"/>
      <c r="H279" s="5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5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94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94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94"/>
      <c r="B285" s="97"/>
      <c r="C285" s="91"/>
      <c r="D285" s="91"/>
      <c r="E285" s="91"/>
      <c r="F285" s="91"/>
      <c r="G285" s="91"/>
      <c r="H285" s="9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91"/>
      <c r="D286" s="91"/>
      <c r="E286" s="91"/>
      <c r="F286" s="91"/>
      <c r="G286" s="91"/>
      <c r="H286" s="9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7"/>
      <c r="B287" s="7"/>
      <c r="C287" s="91"/>
      <c r="D287" s="91"/>
      <c r="E287" s="91"/>
      <c r="F287" s="91"/>
      <c r="G287" s="91"/>
      <c r="H287" s="91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7"/>
      <c r="C288" s="91"/>
      <c r="D288" s="91"/>
      <c r="E288" s="91"/>
      <c r="F288" s="91"/>
      <c r="G288" s="91"/>
      <c r="H288" s="91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91"/>
      <c r="D289" s="91"/>
      <c r="E289" s="91"/>
      <c r="F289" s="91"/>
      <c r="G289" s="91"/>
      <c r="H289" s="91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91"/>
      <c r="D290" s="91"/>
      <c r="E290" s="91"/>
      <c r="F290" s="91"/>
      <c r="G290" s="91"/>
      <c r="H290" s="91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1"/>
      <c r="D291" s="91"/>
      <c r="E291" s="91"/>
      <c r="F291" s="91"/>
      <c r="G291" s="91"/>
      <c r="H291" s="91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57"/>
      <c r="B293" s="98"/>
      <c r="C293" s="98"/>
      <c r="D293" s="98"/>
      <c r="E293" s="98"/>
      <c r="F293" s="98"/>
      <c r="G293" s="98"/>
      <c r="H293" s="9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57"/>
      <c r="B294" s="97"/>
      <c r="C294" s="98"/>
      <c r="D294" s="98"/>
      <c r="E294" s="98"/>
      <c r="F294" s="98"/>
      <c r="G294" s="98"/>
      <c r="H294" s="9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57"/>
      <c r="B295" s="98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7"/>
      <c r="C296" s="98"/>
      <c r="D296" s="98"/>
      <c r="E296" s="98"/>
      <c r="F296" s="98"/>
      <c r="G296" s="98"/>
      <c r="H296" s="9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5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5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7"/>
      <c r="B301" s="7"/>
      <c r="C301" s="87"/>
      <c r="D301" s="87"/>
      <c r="E301" s="87"/>
      <c r="F301" s="87"/>
      <c r="G301" s="87"/>
      <c r="H301" s="8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7"/>
      <c r="B302" s="7"/>
      <c r="C302" s="98"/>
      <c r="D302" s="98"/>
      <c r="E302" s="98"/>
      <c r="F302" s="98"/>
      <c r="G302" s="98"/>
      <c r="H302" s="9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7"/>
      <c r="B303" s="7"/>
      <c r="C303" s="99"/>
      <c r="D303" s="99"/>
      <c r="E303" s="99"/>
      <c r="F303" s="99"/>
      <c r="G303" s="99"/>
      <c r="H303" s="9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7"/>
      <c r="B304" s="7"/>
      <c r="C304" s="87"/>
      <c r="D304" s="87"/>
      <c r="E304" s="87"/>
      <c r="F304" s="87"/>
      <c r="G304" s="87"/>
      <c r="H304" s="8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 outlineLevel="1">
      <c r="A305" s="7"/>
      <c r="B305" s="7"/>
      <c r="C305" s="99"/>
      <c r="D305" s="99"/>
      <c r="E305" s="99"/>
      <c r="F305" s="99"/>
      <c r="G305" s="99"/>
      <c r="H305" s="9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6" outlineLevel="1">
      <c r="A306" s="7"/>
      <c r="B306" s="7"/>
      <c r="C306" s="100"/>
      <c r="D306" s="100"/>
      <c r="E306" s="100"/>
      <c r="F306" s="100"/>
      <c r="G306" s="100"/>
      <c r="H306" s="100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outlineLevel="1">
      <c r="A307" s="7"/>
      <c r="B307" s="7"/>
      <c r="C307" s="100"/>
      <c r="D307" s="100"/>
      <c r="E307" s="100"/>
      <c r="F307" s="100"/>
      <c r="G307" s="100"/>
      <c r="H307" s="100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6" ht="18.75" outlineLevel="2">
      <c r="A308" s="84"/>
      <c r="B308" s="7"/>
      <c r="C308" s="100"/>
      <c r="D308" s="100"/>
      <c r="E308" s="100"/>
      <c r="F308" s="100"/>
      <c r="G308" s="100"/>
      <c r="H308" s="10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outlineLevel="2">
      <c r="A309" s="57"/>
      <c r="B309" s="7"/>
      <c r="C309" s="100"/>
      <c r="D309" s="100"/>
      <c r="E309" s="100"/>
      <c r="F309" s="100"/>
      <c r="G309" s="100"/>
      <c r="H309" s="10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6" outlineLevel="2">
      <c r="A310" s="7"/>
      <c r="B310" s="7"/>
      <c r="C310" s="100"/>
      <c r="D310" s="100"/>
      <c r="E310" s="100"/>
      <c r="F310" s="100"/>
      <c r="G310" s="100"/>
      <c r="H310" s="10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outlineLevel="2">
      <c r="A311" s="57"/>
      <c r="B311" s="11"/>
      <c r="C311" s="11"/>
      <c r="D311" s="10"/>
      <c r="E311" s="10"/>
      <c r="F311" s="11"/>
      <c r="G311" s="11"/>
      <c r="H311" s="10"/>
      <c r="I311" s="11"/>
      <c r="J311" s="11"/>
      <c r="K311" s="11"/>
      <c r="L311" s="10"/>
      <c r="M311" s="11"/>
      <c r="N311" s="11"/>
      <c r="O311" s="7"/>
      <c r="P311" s="7"/>
      <c r="Q311" s="7"/>
      <c r="R311" s="7"/>
      <c r="S311" s="7"/>
      <c r="T311" s="11"/>
      <c r="U311" s="7"/>
    </row>
    <row r="312" spans="1:26" outlineLevel="2">
      <c r="A312" s="5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outlineLevel="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6" outlineLevel="2">
      <c r="A314" s="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7"/>
      <c r="P314" s="7"/>
      <c r="Q314" s="7"/>
      <c r="R314" s="7"/>
      <c r="S314" s="7"/>
      <c r="T314" s="87"/>
      <c r="U314" s="7"/>
    </row>
    <row r="315" spans="1:26" outlineLevel="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6" outlineLevel="2">
      <c r="A316" s="7"/>
      <c r="B316" s="98"/>
      <c r="C316" s="98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7"/>
      <c r="P316" s="7"/>
      <c r="Q316" s="7"/>
      <c r="R316" s="7"/>
      <c r="S316" s="7"/>
      <c r="T316" s="87"/>
      <c r="U316" s="7"/>
    </row>
    <row r="317" spans="1:26" outlineLevel="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6" outlineLevel="2">
      <c r="A318" s="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7"/>
      <c r="P318" s="7"/>
      <c r="Q318" s="7"/>
      <c r="R318" s="7"/>
      <c r="S318" s="7"/>
      <c r="T318" s="87"/>
      <c r="U318" s="87"/>
      <c r="V318" s="87"/>
      <c r="W318" s="87"/>
      <c r="X318" s="87"/>
      <c r="Y318" s="87"/>
      <c r="Z318" s="87"/>
    </row>
    <row r="319" spans="1:26" outlineLevel="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 outlineLevel="2">
      <c r="A320" s="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7"/>
      <c r="P320" s="7"/>
      <c r="Q320" s="7"/>
      <c r="R320" s="7"/>
      <c r="S320" s="7"/>
      <c r="T320" s="87"/>
      <c r="U320" s="7"/>
    </row>
    <row r="321" spans="1:21" outlineLevel="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outlineLevel="2">
      <c r="A322" s="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7"/>
      <c r="P322" s="7"/>
      <c r="Q322" s="7"/>
      <c r="R322" s="7"/>
      <c r="S322" s="7"/>
      <c r="T322" s="87"/>
      <c r="U322" s="87"/>
    </row>
    <row r="323" spans="1:21" outlineLevel="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outlineLevel="2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7"/>
      <c r="P324" s="7"/>
      <c r="Q324" s="7"/>
      <c r="R324" s="7"/>
      <c r="S324" s="7"/>
      <c r="T324" s="87"/>
      <c r="U324" s="87"/>
    </row>
    <row r="325" spans="1:21" outlineLevel="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outlineLevel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outlineLevel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outlineLevel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8.75" outlineLevel="1">
      <c r="A329" s="8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outlineLevel="1">
      <c r="A330" s="5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outlineLevel="1">
      <c r="A331" s="5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outlineLevel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outlineLevel="1">
      <c r="A333" s="2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21" outlineLevel="1">
      <c r="A334" s="5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5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 outlineLevel="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 outlineLevel="1">
      <c r="A346" s="86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 outlineLevel="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 outlineLevel="1">
      <c r="A348" s="86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 outlineLevel="1">
      <c r="A353" s="5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 outlineLevel="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 outlineLevel="1">
      <c r="A355" s="5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 outlineLevel="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 outlineLevel="1">
      <c r="A358" s="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 outlineLevel="1">
      <c r="A359" s="5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 outlineLevel="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 outlineLevel="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 outlineLevel="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 outlineLevel="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 outlineLevel="1">
      <c r="A364" s="5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 outlineLevel="1">
      <c r="A366" s="86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</row>
    <row r="367" spans="1:21" outlineLevel="1">
      <c r="A367" s="86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</row>
    <row r="368" spans="1:21" outlineLevel="1">
      <c r="A368" s="86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</row>
    <row r="369" spans="1:21" outlineLevel="1">
      <c r="A369" s="86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</row>
    <row r="370" spans="1:21" outlineLevel="1">
      <c r="A370" s="86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</row>
    <row r="371" spans="1:21" outlineLevel="1">
      <c r="A371" s="2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</row>
    <row r="372" spans="1:21" outlineLevel="1">
      <c r="A372" s="5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</row>
    <row r="373" spans="1:21" outlineLevel="1">
      <c r="A373" s="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</row>
    <row r="374" spans="1:21" outlineLevel="1">
      <c r="A374" s="5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</row>
    <row r="375" spans="1:21" outlineLevel="1">
      <c r="A375" s="5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</row>
    <row r="376" spans="1:21" outlineLevel="1">
      <c r="A376" s="5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</row>
    <row r="377" spans="1:21" outlineLevel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outlineLevel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8.75" outlineLevel="1">
      <c r="A379" s="8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outlineLevel="1">
      <c r="A381" s="5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outlineLevel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outlineLevel="1">
      <c r="A383" s="2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7"/>
      <c r="P383" s="7"/>
      <c r="Q383" s="7"/>
      <c r="R383" s="7"/>
      <c r="S383" s="7"/>
      <c r="T383" s="7"/>
      <c r="U383" s="7"/>
    </row>
    <row r="384" spans="1:21" outlineLevel="1">
      <c r="A384" s="5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5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86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86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86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86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86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 outlineLevel="1">
      <c r="A408" s="86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 outlineLevel="1">
      <c r="A410" s="5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7"/>
      <c r="P410" s="7"/>
      <c r="Q410" s="7"/>
      <c r="R410" s="7"/>
      <c r="S410" s="7"/>
      <c r="T410" s="7"/>
      <c r="U410" s="7"/>
    </row>
    <row r="411" spans="1:21" outlineLevel="1">
      <c r="A411" s="5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7"/>
      <c r="P411" s="7"/>
      <c r="Q411" s="7"/>
      <c r="R411" s="7"/>
      <c r="S411" s="7"/>
      <c r="T411" s="7"/>
      <c r="U411" s="7"/>
    </row>
    <row r="412" spans="1:21" outlineLevel="1">
      <c r="A412" s="57"/>
      <c r="B412" s="101"/>
      <c r="C412" s="101"/>
      <c r="D412"/>
      <c r="E412"/>
      <c r="F412"/>
      <c r="G412"/>
      <c r="H412"/>
      <c r="I412" s="101"/>
      <c r="J412" s="101"/>
      <c r="K412" s="101"/>
      <c r="L412" s="101"/>
      <c r="M412" s="101"/>
      <c r="N412" s="101"/>
      <c r="O412" s="7"/>
      <c r="P412" s="7"/>
      <c r="Q412" s="7"/>
      <c r="R412" s="7"/>
      <c r="S412" s="7"/>
      <c r="T412" s="7"/>
      <c r="U412" s="7"/>
    </row>
    <row r="413" spans="1:21" outlineLevel="1">
      <c r="A413" s="57"/>
      <c r="B413" s="101"/>
      <c r="C413" s="101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101"/>
      <c r="C414" s="101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7"/>
      <c r="P414" s="7"/>
      <c r="Q414" s="7"/>
      <c r="R414" s="7"/>
      <c r="S414" s="7"/>
      <c r="T414" s="7"/>
      <c r="U414" s="7"/>
    </row>
    <row r="415" spans="1:21" outlineLevel="1">
      <c r="A415" s="57"/>
      <c r="B415" s="101"/>
      <c r="C415" s="101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7"/>
      <c r="P415" s="7"/>
      <c r="Q415" s="7"/>
      <c r="R415" s="7"/>
      <c r="S415" s="7"/>
      <c r="T415" s="7"/>
      <c r="U415" s="7"/>
    </row>
    <row r="416" spans="1:21" outlineLevel="1">
      <c r="A416" s="57"/>
      <c r="B416" s="101"/>
      <c r="C416" s="101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101"/>
      <c r="C417" s="101"/>
      <c r="D417"/>
      <c r="E417"/>
      <c r="F417"/>
      <c r="G417"/>
      <c r="H417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7"/>
      <c r="B418" s="101"/>
      <c r="C418" s="101"/>
      <c r="D418"/>
      <c r="E418"/>
      <c r="F418"/>
      <c r="G418"/>
      <c r="H418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 s="101"/>
      <c r="D419"/>
      <c r="E419"/>
      <c r="F419"/>
      <c r="G419"/>
      <c r="H419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 s="101"/>
      <c r="D420"/>
      <c r="E420"/>
      <c r="F420"/>
      <c r="G420"/>
      <c r="H420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 s="101"/>
      <c r="D421"/>
      <c r="E421"/>
      <c r="F421"/>
      <c r="G421"/>
      <c r="H42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5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 outlineLevel="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 outlineLevel="1">
      <c r="A426" s="5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 outlineLevel="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</row>
    <row r="429" spans="1:21" outlineLevel="1">
      <c r="A429" s="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</row>
    <row r="430" spans="1:21" outlineLevel="1">
      <c r="A430" s="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</row>
    <row r="431" spans="1:21" outlineLevel="1">
      <c r="A431" s="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</row>
    <row r="432" spans="1:21" outlineLevel="1">
      <c r="A432" s="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</row>
    <row r="433" spans="1:21" outlineLevel="1">
      <c r="A433" s="7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</row>
    <row r="434" spans="1:21" outlineLevel="1">
      <c r="A434" s="7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</row>
    <row r="435" spans="1:21" outlineLevel="1">
      <c r="A435" s="7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7"/>
      <c r="P435" s="7"/>
      <c r="Q435" s="7"/>
      <c r="R435" s="7"/>
      <c r="S435" s="7"/>
      <c r="T435" s="7"/>
      <c r="U435" s="7"/>
    </row>
    <row r="436" spans="1:21" outlineLevel="1">
      <c r="A436" s="57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7"/>
      <c r="P436" s="7"/>
      <c r="Q436" s="7"/>
      <c r="R436" s="7"/>
      <c r="S436" s="7"/>
      <c r="T436" s="7"/>
      <c r="U436" s="7"/>
    </row>
    <row r="437" spans="1:21" outlineLevel="1">
      <c r="A437" s="57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7"/>
      <c r="P437" s="7"/>
      <c r="Q437" s="7"/>
      <c r="R437" s="7"/>
      <c r="S437" s="7"/>
      <c r="T437" s="7"/>
      <c r="U437" s="7"/>
    </row>
    <row r="438" spans="1:21" outlineLevel="1">
      <c r="A438" s="57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7"/>
      <c r="P438" s="7"/>
      <c r="Q438" s="7"/>
      <c r="R438" s="7"/>
      <c r="S438" s="7"/>
      <c r="T438" s="7"/>
      <c r="U438" s="7"/>
    </row>
    <row r="439" spans="1:21" outlineLevel="1">
      <c r="A439" s="57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7"/>
      <c r="P439" s="7"/>
      <c r="Q439" s="7"/>
      <c r="R439" s="7"/>
      <c r="S439" s="7"/>
      <c r="T439" s="7"/>
      <c r="U439" s="7"/>
    </row>
    <row r="440" spans="1:21" outlineLevel="1">
      <c r="A440" s="57"/>
      <c r="B440" s="102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8.75" outlineLevel="1">
      <c r="A442" s="8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outlineLevel="1">
      <c r="A443" s="5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outlineLevel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outlineLevel="1">
      <c r="A446" s="2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 spans="1:21" outlineLevel="1">
      <c r="A447" s="7"/>
      <c r="B447" s="7"/>
      <c r="C447" s="7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outlineLevel="1">
      <c r="A448" s="57"/>
      <c r="B448" s="7"/>
      <c r="C448" s="73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7"/>
      <c r="P448" s="7"/>
      <c r="Q448" s="7"/>
      <c r="R448" s="7"/>
      <c r="S448" s="7"/>
      <c r="T448" s="7"/>
      <c r="U448" s="7"/>
    </row>
    <row r="449" spans="1:21" outlineLevel="1">
      <c r="A449" s="7"/>
      <c r="B449" s="7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3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"/>
      <c r="P451" s="7"/>
      <c r="Q451" s="7"/>
      <c r="R451" s="7"/>
      <c r="S451" s="7"/>
      <c r="T451" s="7"/>
      <c r="U451" s="7"/>
    </row>
    <row r="452" spans="1:21" outlineLevel="1">
      <c r="A452" s="7"/>
      <c r="B452" s="7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"/>
      <c r="P452" s="7"/>
      <c r="Q452" s="7"/>
      <c r="R452" s="7"/>
      <c r="S452" s="7"/>
      <c r="T452" s="7"/>
      <c r="U452" s="7"/>
    </row>
    <row r="453" spans="1:21" outlineLevel="1">
      <c r="A453" s="94"/>
      <c r="B453" s="7"/>
      <c r="C453" s="7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7"/>
      <c r="P453" s="7"/>
      <c r="Q453" s="7"/>
      <c r="R453" s="7"/>
      <c r="S453" s="7"/>
      <c r="T453" s="7"/>
      <c r="U453" s="7"/>
    </row>
    <row r="454" spans="1:21" outlineLevel="1">
      <c r="A454" s="94"/>
      <c r="B454" s="7"/>
      <c r="C454" s="73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7"/>
      <c r="P454" s="7"/>
      <c r="Q454" s="7"/>
      <c r="R454" s="7"/>
      <c r="S454" s="7"/>
      <c r="T454" s="7"/>
      <c r="U454" s="7"/>
    </row>
    <row r="455" spans="1:21" outlineLevel="1">
      <c r="A455" s="57"/>
      <c r="B455" s="7"/>
      <c r="C455" s="7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outlineLevel="1">
      <c r="A456" s="7"/>
      <c r="B456" s="102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7"/>
      <c r="P456" s="7"/>
      <c r="Q456" s="7"/>
      <c r="R456" s="7"/>
      <c r="S456" s="7"/>
      <c r="T456" s="7"/>
      <c r="U456" s="7"/>
    </row>
    <row r="457" spans="1:21" outlineLevel="1">
      <c r="A457" s="7"/>
      <c r="B457" s="7"/>
      <c r="C457" s="7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outlineLevel="1">
      <c r="A458" s="57"/>
      <c r="B458" s="7"/>
      <c r="C458" s="73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3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7"/>
      <c r="P459" s="7"/>
      <c r="Q459" s="7"/>
      <c r="R459" s="7"/>
      <c r="S459" s="7"/>
      <c r="T459" s="7"/>
      <c r="U459" s="7"/>
    </row>
    <row r="460" spans="1:21" outlineLevel="1">
      <c r="A460" s="57"/>
      <c r="B460" s="7"/>
      <c r="C460" s="73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7"/>
      <c r="P460" s="7"/>
      <c r="Q460" s="7"/>
      <c r="R460" s="7"/>
      <c r="S460" s="7"/>
      <c r="T460" s="7"/>
      <c r="U460" s="7"/>
    </row>
    <row r="461" spans="1:21" outlineLevel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outlineLevel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s="106" customFormat="1" ht="18.75" outlineLevel="1">
      <c r="A463" s="104"/>
      <c r="B463" s="105"/>
      <c r="C463" s="105"/>
    </row>
    <row r="464" spans="1:21" s="106" customFormat="1" outlineLevel="1">
      <c r="A464" s="105"/>
      <c r="B464" s="107"/>
      <c r="C464" s="108"/>
      <c r="D464" s="105"/>
      <c r="E464" s="109"/>
    </row>
    <row r="465" spans="1:21" s="106" customFormat="1" outlineLevel="1">
      <c r="A465" s="105"/>
      <c r="B465" s="110"/>
      <c r="C465" s="88"/>
      <c r="D465" s="88"/>
      <c r="E465" s="109"/>
    </row>
    <row r="466" spans="1:21" s="106" customFormat="1" outlineLevel="1">
      <c r="A466" s="105"/>
      <c r="B466" s="88"/>
      <c r="C466" s="109"/>
      <c r="D466" s="88"/>
      <c r="E466" s="110"/>
    </row>
    <row r="467" spans="1:21" s="106" customFormat="1" outlineLevel="1">
      <c r="A467" s="111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</row>
    <row r="468" spans="1:21" s="106" customFormat="1" outlineLevel="1">
      <c r="A468" s="80"/>
      <c r="B468" s="105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79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79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79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78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69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80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113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3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113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113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113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113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 outlineLevel="1">
      <c r="A485" s="113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80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80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80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80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 outlineLevel="1">
      <c r="A492" s="80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82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06" customFormat="1" outlineLevel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ht="13.9" customHeight="1" outlineLevel="1">
      <c r="A495" s="78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16" customFormat="1" outlineLevel="1">
      <c r="A496" s="115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78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 outlineLevel="1">
      <c r="A498" s="79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79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9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06" customFormat="1" outlineLevel="1">
      <c r="A502" s="80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16" customFormat="1" outlineLevel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 outlineLevel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/>
      <c r="B507"/>
      <c r="C507"/>
      <c r="D507"/>
      <c r="E507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06" customFormat="1" outlineLevel="1">
      <c r="A508"/>
      <c r="B508"/>
      <c r="C508"/>
      <c r="D508"/>
      <c r="E508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16" customFormat="1" outlineLevel="1">
      <c r="A509"/>
      <c r="B509"/>
      <c r="C509"/>
      <c r="D509"/>
      <c r="E509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 outlineLevel="1">
      <c r="A510"/>
      <c r="B510"/>
      <c r="C510"/>
      <c r="D510"/>
      <c r="E510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 outlineLevel="1">
      <c r="A511"/>
      <c r="B511"/>
      <c r="C511"/>
      <c r="D511"/>
      <c r="E511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 s="106" customFormat="1" outlineLevel="1">
      <c r="A512"/>
      <c r="B512"/>
      <c r="C512"/>
      <c r="D512"/>
      <c r="E5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</row>
    <row r="513" spans="1:21" s="116" customFormat="1" outlineLevel="1">
      <c r="A513"/>
      <c r="B513"/>
      <c r="C513"/>
      <c r="D513"/>
      <c r="E513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</row>
    <row r="514" spans="1:21" s="106" customFormat="1" outlineLevel="1">
      <c r="A514" s="80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</row>
    <row r="515" spans="1:21" s="116" customFormat="1" outlineLevel="1">
      <c r="A515" s="117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</row>
    <row r="516" spans="1:21" s="106" customFormat="1" outlineLevel="1">
      <c r="A516" s="80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</row>
    <row r="517" spans="1:21" s="106" customFormat="1" outlineLevel="1">
      <c r="A517" s="80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</row>
    <row r="518" spans="1:21" s="106" customFormat="1" outlineLevel="1">
      <c r="A518" s="80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</row>
    <row r="519" spans="1:21" outlineLevel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8.75" outlineLevel="1">
      <c r="A522" s="8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5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118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2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7"/>
      <c r="N526" s="7"/>
      <c r="O526" s="7"/>
      <c r="P526" s="7"/>
      <c r="Q526" s="7"/>
      <c r="R526" s="7"/>
      <c r="S526" s="7"/>
      <c r="T526" s="7"/>
      <c r="U526" s="7"/>
    </row>
    <row r="527" spans="1:21" outlineLevel="2">
      <c r="A527" s="5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outlineLevel="2">
      <c r="A530" s="119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outlineLevel="2">
      <c r="A532" s="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outlineLevel="2">
      <c r="A533" s="5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outlineLevel="2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outlineLevel="2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outlineLevel="2">
      <c r="A537" s="86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outlineLevel="2">
      <c r="A538" s="86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outlineLevel="2">
      <c r="A539" s="86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outlineLevel="2">
      <c r="A541" s="86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outlineLevel="2">
      <c r="A542" s="86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outlineLevel="2">
      <c r="A543" s="86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outlineLevel="2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outlineLevel="2">
      <c r="A545" s="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outlineLevel="2">
      <c r="A546" s="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outlineLevel="2">
      <c r="A547" s="86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outlineLevel="2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outlineLevel="2">
      <c r="A549" s="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outlineLevel="2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outlineLevel="2">
      <c r="A551" s="86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outlineLevel="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outlineLevel="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outlineLevel="1">
      <c r="A554" s="5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outlineLevel="1">
      <c r="A555" s="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outlineLevel="1">
      <c r="A556" s="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outlineLevel="1">
      <c r="A557" s="5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outlineLevel="1">
      <c r="A558" s="5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outlineLevel="1">
      <c r="A559" s="5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outlineLevel="1">
      <c r="A560" s="5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87"/>
      <c r="E561" s="87"/>
      <c r="F561" s="87"/>
      <c r="G561" s="87"/>
      <c r="H561" s="87"/>
      <c r="I561" s="87"/>
      <c r="J561" s="87"/>
      <c r="K561" s="87"/>
      <c r="L561" s="8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87"/>
      <c r="E562" s="87"/>
      <c r="F562" s="87"/>
      <c r="G562" s="87"/>
      <c r="H562" s="87"/>
      <c r="I562" s="87"/>
      <c r="J562" s="87"/>
      <c r="K562" s="87"/>
      <c r="L562" s="8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87"/>
      <c r="E563" s="87"/>
      <c r="F563" s="87"/>
      <c r="G563" s="87"/>
      <c r="H563" s="87"/>
      <c r="I563" s="87"/>
      <c r="J563" s="87"/>
      <c r="K563" s="87"/>
      <c r="L563" s="8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87"/>
      <c r="E564" s="87"/>
      <c r="F564" s="87"/>
      <c r="G564" s="87"/>
      <c r="H564" s="87"/>
      <c r="I564" s="87"/>
      <c r="J564" s="87"/>
      <c r="K564" s="87"/>
      <c r="L564" s="8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87"/>
      <c r="E565" s="87"/>
      <c r="F565" s="87"/>
      <c r="G565" s="87"/>
      <c r="H565" s="87"/>
      <c r="I565" s="87"/>
      <c r="J565" s="87"/>
      <c r="K565" s="87"/>
      <c r="L565" s="8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</sheetData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C763"/>
  <sheetViews>
    <sheetView zoomScale="75" zoomScaleNormal="75" workbookViewId="0"/>
  </sheetViews>
  <sheetFormatPr defaultRowHeight="12.75" outlineLevelRow="2" outlineLevelCol="1"/>
  <cols>
    <col min="1" max="1" width="48.71093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150</v>
      </c>
      <c r="B2" s="369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Brownsville!$B$5</f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1518.7220525687362</v>
      </c>
      <c r="AA7" s="470">
        <f>C10+C11</f>
        <v>1564.2837141457983</v>
      </c>
      <c r="AB7" s="470">
        <f>D10+D11</f>
        <v>1611.2122255701724</v>
      </c>
      <c r="AC7" s="470">
        <f t="shared" ref="AC7:AS7" si="1">E16</f>
        <v>1153.069627837277</v>
      </c>
      <c r="AD7" s="470">
        <f t="shared" si="1"/>
        <v>1187.6617166723954</v>
      </c>
      <c r="AE7" s="470">
        <f t="shared" si="1"/>
        <v>1223.2915681725672</v>
      </c>
      <c r="AF7" s="470">
        <f t="shared" si="1"/>
        <v>1259.9903152177444</v>
      </c>
      <c r="AG7" s="470">
        <f t="shared" si="1"/>
        <v>1297.7900246742765</v>
      </c>
      <c r="AH7" s="470">
        <f t="shared" si="1"/>
        <v>1336.7237254145048</v>
      </c>
      <c r="AI7" s="470">
        <f t="shared" si="1"/>
        <v>1376.8254371769399</v>
      </c>
      <c r="AJ7" s="470">
        <f t="shared" si="1"/>
        <v>1418.1302002922484</v>
      </c>
      <c r="AK7" s="470">
        <f t="shared" si="1"/>
        <v>1460.6741063010156</v>
      </c>
      <c r="AL7" s="470">
        <f t="shared" si="1"/>
        <v>1504.4943294900459</v>
      </c>
      <c r="AM7" s="470">
        <f t="shared" si="1"/>
        <v>1549.6291593747474</v>
      </c>
      <c r="AN7" s="470">
        <f t="shared" si="1"/>
        <v>1596.1180341559898</v>
      </c>
      <c r="AO7" s="470">
        <f t="shared" si="1"/>
        <v>1644.0015751806695</v>
      </c>
      <c r="AP7" s="470">
        <f t="shared" si="1"/>
        <v>1693.3216224360895</v>
      </c>
      <c r="AQ7" s="470">
        <f t="shared" si="1"/>
        <v>1744.1212711091721</v>
      </c>
      <c r="AR7" s="470">
        <f t="shared" si="1"/>
        <v>1796.444909242447</v>
      </c>
      <c r="AS7" s="470">
        <f t="shared" si="1"/>
        <v>1850.3382565197207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92">
        <v>0</v>
      </c>
      <c r="Z8" s="491">
        <f>B23+B24</f>
        <v>1518.7220525687362</v>
      </c>
      <c r="AA8" s="491">
        <f>C23+C24</f>
        <v>1564.2837141457983</v>
      </c>
      <c r="AB8" s="491">
        <f>D23+D24</f>
        <v>1611.2122255701724</v>
      </c>
      <c r="AC8" s="491">
        <f t="shared" ref="AC8:AS8" si="2">E23+1/3*E24</f>
        <v>1153.069627837277</v>
      </c>
      <c r="AD8" s="491">
        <f t="shared" si="2"/>
        <v>1187.6617166723954</v>
      </c>
      <c r="AE8" s="491">
        <f t="shared" si="2"/>
        <v>1223.2915681725674</v>
      </c>
      <c r="AF8" s="491">
        <f t="shared" si="2"/>
        <v>1259.9903152177444</v>
      </c>
      <c r="AG8" s="491">
        <f t="shared" si="2"/>
        <v>1297.7900246742765</v>
      </c>
      <c r="AH8" s="491">
        <f t="shared" si="2"/>
        <v>1336.7237254145048</v>
      </c>
      <c r="AI8" s="491">
        <f t="shared" si="2"/>
        <v>1376.8254371769401</v>
      </c>
      <c r="AJ8" s="491">
        <f t="shared" si="2"/>
        <v>1418.1302002922484</v>
      </c>
      <c r="AK8" s="491">
        <f t="shared" si="2"/>
        <v>1460.6741063010159</v>
      </c>
      <c r="AL8" s="491">
        <f t="shared" si="2"/>
        <v>1504.4943294900459</v>
      </c>
      <c r="AM8" s="491">
        <f t="shared" si="2"/>
        <v>1549.6291593747474</v>
      </c>
      <c r="AN8" s="491">
        <f t="shared" si="2"/>
        <v>1596.11803415599</v>
      </c>
      <c r="AO8" s="491">
        <f t="shared" si="2"/>
        <v>1644.0015751806695</v>
      </c>
      <c r="AP8" s="491">
        <f t="shared" si="2"/>
        <v>1693.3216224360897</v>
      </c>
      <c r="AQ8" s="491">
        <f t="shared" si="2"/>
        <v>1744.1212711091725</v>
      </c>
      <c r="AR8" s="491">
        <f t="shared" si="2"/>
        <v>1796.4449092424475</v>
      </c>
      <c r="AS8" s="491">
        <f t="shared" si="2"/>
        <v>1850.3382565197212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Assumption'!C27*12*Assumptions!$G$9</f>
        <v>24480</v>
      </c>
      <c r="C9" s="56">
        <f>'Power Price Assumption'!D27*12*Assumptions!$G$9</f>
        <v>24480</v>
      </c>
      <c r="D9" s="56">
        <f>'Power Price Assumption'!E27*12*Assumptions!$G$9</f>
        <v>24480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73440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Assumptions!G19*Assumptions!G17/1000*(1+Assumptions!$G$25)</f>
        <v>823.4720525687361</v>
      </c>
      <c r="C10" s="56">
        <f>B10*(1+Assumptions!$G$25)</f>
        <v>848.17621414579821</v>
      </c>
      <c r="D10" s="56">
        <f>C10*(1+Assumptions!$G$25)</f>
        <v>873.6215005701722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2545.2697672847062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Assumptions!$G$18*Assumptions!$G$11*Assumptions!$G$8/1000*(1+Assumptions!$G$25)</f>
        <v>695.25</v>
      </c>
      <c r="C11" s="91">
        <f>B11*(1+Assumptions!$G$25)</f>
        <v>716.10750000000007</v>
      </c>
      <c r="D11" s="91">
        <f>C11*(1+Assumptions!$G$25)</f>
        <v>737.59072500000013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2148.9482250000001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Contract'!$C$29/3</f>
        <v>9038.5339672128084</v>
      </c>
      <c r="C12" s="127">
        <f>'Amortization of Power Contract'!$C$29/3</f>
        <v>9038.5339672128084</v>
      </c>
      <c r="D12" s="127">
        <f>'Amortization of Power Contract'!$C$29/3</f>
        <v>9038.5339672128084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27115.601901638423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Assumption'!F27*Assumptions!$G$9*12</f>
        <v>39288.819494509924</v>
      </c>
      <c r="F15" s="19">
        <f>'Power Price Assumption'!G27*Assumptions!$G$9*12</f>
        <v>41237.009778250213</v>
      </c>
      <c r="G15" s="19">
        <f>'Power Price Assumption'!H27*Assumptions!$G$9*12</f>
        <v>41765.821079137233</v>
      </c>
      <c r="H15" s="19">
        <f>'Power Price Assumption'!I27*Assumptions!$G$9*12</f>
        <v>42301.41370081959</v>
      </c>
      <c r="I15" s="19">
        <f>'Power Price Assumption'!J27*Assumptions!$G$9*12</f>
        <v>42843.874604963254</v>
      </c>
      <c r="J15" s="19">
        <f>'Power Price Assumption'!K27*Assumptions!$G$9*12</f>
        <v>43393.291868405126</v>
      </c>
      <c r="K15" s="19">
        <f>'Power Price Assumption'!L27*Assumptions!$G$9*12</f>
        <v>43949.754697453536</v>
      </c>
      <c r="L15" s="19">
        <f>'Power Price Assumption'!M27*Assumptions!$G$9*12</f>
        <v>44781.378776473983</v>
      </c>
      <c r="M15" s="19">
        <f>'Power Price Assumption'!N27*Assumptions!$G$9*12</f>
        <v>45628.738975378772</v>
      </c>
      <c r="N15" s="19">
        <f>'Power Price Assumption'!O27*Assumptions!$G$9*12</f>
        <v>46492.133055470462</v>
      </c>
      <c r="O15" s="19">
        <f>'Power Price Assumption'!P27*Assumptions!$G$9*12</f>
        <v>47371.864412337192</v>
      </c>
      <c r="P15" s="19">
        <f>'Power Price Assumption'!Q27*Assumptions!$G$9*12</f>
        <v>48268.242182465561</v>
      </c>
      <c r="Q15" s="19">
        <f>'Power Price Assumption'!R27*Assumptions!$G$9*12</f>
        <v>48956.905260957668</v>
      </c>
      <c r="R15" s="19">
        <f>'Power Price Assumption'!S27*Assumptions!$G$9*12</f>
        <v>49655.393781898791</v>
      </c>
      <c r="S15" s="19">
        <f>'Power Price Assumption'!T27*Assumptions!$G$9*12</f>
        <v>50363.847928961215</v>
      </c>
      <c r="T15" s="19">
        <f>'Power Price Assumption'!U27*Assumptions!$G$9*12</f>
        <v>51082.409885875939</v>
      </c>
      <c r="U15" s="19">
        <f>'Power Price Assumption'!V27*Assumptions!$G$9*12</f>
        <v>51811.223864968488</v>
      </c>
      <c r="W15" s="91">
        <f>SUM(B15:U15)</f>
        <v>779192.123348327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1/3*Assumptions!$G$18*Assumptions!$G$11*Assumptions!$G$8/1000*(1+Assumptions!$G$25)^(E5-2000)+Assumptions!$G$19*Assumptions!$G$17*(1+Assumptions!$G$25)^(E5-2000)/1000</f>
        <v>1153.069627837277</v>
      </c>
      <c r="F16" s="127">
        <f>1/3*Assumptions!$G$18*Assumptions!$G$11*Assumptions!$G$8/1000*(1+Assumptions!$G$25)^(F5-2000)+Assumptions!$G$19*Assumptions!$G$17*(1+Assumptions!$G$25)^(F5-2000)/1000</f>
        <v>1187.6617166723954</v>
      </c>
      <c r="G16" s="127">
        <f>1/3*Assumptions!$G$18*Assumptions!$G$11*Assumptions!$G$8/1000*(1+Assumptions!$G$25)^(G5-2000)+Assumptions!$G$19*Assumptions!$G$17*(1+Assumptions!$G$25)^(G5-2000)/1000</f>
        <v>1223.2915681725672</v>
      </c>
      <c r="H16" s="127">
        <f>1/3*Assumptions!$G$18*Assumptions!$G$11*Assumptions!$G$8/1000*(1+Assumptions!$G$25)^(H5-2000)+Assumptions!$G$19*Assumptions!$G$17*(1+Assumptions!$G$25)^(H5-2000)/1000</f>
        <v>1259.9903152177444</v>
      </c>
      <c r="I16" s="127">
        <f>1/3*Assumptions!$G$18*Assumptions!$G$11*Assumptions!$G$8/1000*(1+Assumptions!$G$25)^(I5-2000)+Assumptions!$G$19*Assumptions!$G$17*(1+Assumptions!$G$25)^(I5-2000)/1000</f>
        <v>1297.7900246742765</v>
      </c>
      <c r="J16" s="127">
        <f>1/3*Assumptions!$G$18*Assumptions!$G$11*Assumptions!$G$8/1000*(1+Assumptions!$G$25)^(J5-2000)+Assumptions!$G$19*Assumptions!$G$17*(1+Assumptions!$G$25)^(J5-2000)/1000</f>
        <v>1336.7237254145048</v>
      </c>
      <c r="K16" s="127">
        <f>1/3*Assumptions!$G$18*Assumptions!$G$11*Assumptions!$G$8/1000*(1+Assumptions!$G$25)^(K5-2000)+Assumptions!$G$19*Assumptions!$G$17*(1+Assumptions!$G$25)^(K5-2000)/1000</f>
        <v>1376.8254371769399</v>
      </c>
      <c r="L16" s="127">
        <f>1/3*Assumptions!$G$18*Assumptions!$G$11*Assumptions!$G$8/1000*(1+Assumptions!$G$25)^(L5-2000)+Assumptions!$G$19*Assumptions!$G$17*(1+Assumptions!$G$25)^(L5-2000)/1000</f>
        <v>1418.1302002922484</v>
      </c>
      <c r="M16" s="127">
        <f>1/3*Assumptions!$G$18*Assumptions!$G$11*Assumptions!$G$8/1000*(1+Assumptions!$G$25)^(M5-2000)+Assumptions!$G$19*Assumptions!$G$17*(1+Assumptions!$G$25)^(M5-2000)/1000</f>
        <v>1460.6741063010156</v>
      </c>
      <c r="N16" s="127">
        <f>1/3*Assumptions!$G$18*Assumptions!$G$11*Assumptions!$G$8/1000*(1+Assumptions!$G$25)^(N5-2000)+Assumptions!$G$19*Assumptions!$G$17*(1+Assumptions!$G$25)^(N5-2000)/1000</f>
        <v>1504.4943294900459</v>
      </c>
      <c r="O16" s="127">
        <f>1/3*Assumptions!$G$18*Assumptions!$G$11*Assumptions!$G$8/1000*(1+Assumptions!$G$25)^(O5-2000)+Assumptions!$G$19*Assumptions!$G$17*(1+Assumptions!$G$25)^(O5-2000)/1000</f>
        <v>1549.6291593747474</v>
      </c>
      <c r="P16" s="127">
        <f>1/3*Assumptions!$G$18*Assumptions!$G$11*Assumptions!$G$8/1000*(1+Assumptions!$G$25)^(P5-2000)+Assumptions!$G$19*Assumptions!$G$17*(1+Assumptions!$G$25)^(P5-2000)/1000</f>
        <v>1596.1180341559898</v>
      </c>
      <c r="Q16" s="127">
        <f>1/3*Assumptions!$G$18*Assumptions!$G$11*Assumptions!$G$8/1000*(1+Assumptions!$G$25)^(Q5-2000)+Assumptions!$G$19*Assumptions!$G$17*(1+Assumptions!$G$25)^(Q5-2000)/1000</f>
        <v>1644.0015751806695</v>
      </c>
      <c r="R16" s="127">
        <f>1/3*Assumptions!$G$18*Assumptions!$G$11*Assumptions!$G$8/1000*(1+Assumptions!$G$25)^(R5-2000)+Assumptions!$G$19*Assumptions!$G$17*(1+Assumptions!$G$25)^(R5-2000)/1000</f>
        <v>1693.3216224360895</v>
      </c>
      <c r="S16" s="127">
        <f>1/3*Assumptions!$G$18*Assumptions!$G$11*Assumptions!$G$8/1000*(1+Assumptions!$G$25)^(S5-2000)+Assumptions!$G$19*Assumptions!$G$17*(1+Assumptions!$G$25)^(S5-2000)/1000</f>
        <v>1744.1212711091721</v>
      </c>
      <c r="T16" s="127">
        <f>1/3*Assumptions!$G$18*Assumptions!$G$11*Assumptions!$G$8/1000*(1+Assumptions!$G$25)^(T5-2000)+Assumptions!$G$19*Assumptions!$G$17*(1+Assumptions!$G$25)^(T5-2000)/1000</f>
        <v>1796.444909242447</v>
      </c>
      <c r="U16" s="127">
        <f>1/3*Assumptions!$G$18*Assumptions!$G$11*Assumptions!$G$8/1000*(1+Assumptions!$G$25)^(U5-2000)+Assumptions!$G$19*Assumptions!$G$17*(1+Assumptions!$G$25)^(U5-2000)/1000</f>
        <v>1850.3382565197207</v>
      </c>
      <c r="W16" s="91">
        <f>SUM(B16:U16)</f>
        <v>25092.625879267853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276.06096083604882</v>
      </c>
      <c r="C18" s="198">
        <f>(SUM(C9:C11)-SUM(C22:C27))*'Summary Output'!$B$29/4</f>
        <v>273.51126638734553</v>
      </c>
      <c r="D18" s="198">
        <f>(SUM(D9:D11)-SUM(D22:D27))*'Summary Output'!$B$29/4</f>
        <v>272.03381559666008</v>
      </c>
      <c r="E18" s="198">
        <f>(SUM(E9:E16)-SUM(E22:E27))*'Summary Output'!$B$29/4</f>
        <v>450.40732114885714</v>
      </c>
      <c r="F18" s="198">
        <f>(SUM(F9:F16)-SUM(F22:F27))*'Summary Output'!$B$29/4</f>
        <v>474.14478347028739</v>
      </c>
      <c r="G18" s="198">
        <f>(SUM(G9:G16)-SUM(G22:G27))*'Summary Output'!$B$29/4</f>
        <v>479.02412301077095</v>
      </c>
      <c r="H18" s="198">
        <f>(SUM(H9:H16)-SUM(H22:H27))*'Summary Output'!$B$29/4</f>
        <v>485.05232825105713</v>
      </c>
      <c r="I18" s="198">
        <f>(SUM(I9:I16)-SUM(I22:I27))*'Summary Output'!$B$29/4</f>
        <v>491.13932293766629</v>
      </c>
      <c r="J18" s="198">
        <f>(SUM(J9:J16)-SUM(J22:J27))*'Summary Output'!$B$29/4</f>
        <v>497.28539610852641</v>
      </c>
      <c r="K18" s="198">
        <f>(SUM(K9:K16)-SUM(K22:K27))*'Summary Output'!$B$29/4</f>
        <v>503.49082656228239</v>
      </c>
      <c r="L18" s="198">
        <f>(SUM(L9:L16)-SUM(L22:L27))*'Summary Output'!$B$29/4</f>
        <v>513.1061989848871</v>
      </c>
      <c r="M18" s="198">
        <f>(SUM(M9:M16)-SUM(M22:M27))*'Summary Output'!$B$29/4</f>
        <v>522.88781204057068</v>
      </c>
      <c r="N18" s="198">
        <f>(SUM(N9:N16)-SUM(N22:N27))*'Summary Output'!$B$29/4</f>
        <v>528.47697391965073</v>
      </c>
      <c r="O18" s="198">
        <f>(SUM(O9:O16)-SUM(O22:O27))*'Summary Output'!$B$29/4</f>
        <v>538.59953582623564</v>
      </c>
      <c r="P18" s="198">
        <f>(SUM(P9:P16)-SUM(P22:P27))*'Summary Output'!$B$29/4</f>
        <v>543.44501748844255</v>
      </c>
      <c r="Q18" s="198">
        <f>(SUM(Q9:Q16)-SUM(Q22:Q27))*'Summary Output'!$B$29/4</f>
        <v>558.16814347024319</v>
      </c>
      <c r="R18" s="198">
        <f>(SUM(R9:R16)-SUM(R22:R27))*'Summary Output'!$B$29/4</f>
        <v>565.73630529228001</v>
      </c>
      <c r="S18" s="198">
        <f>(SUM(S9:S16)-SUM(S22:S27))*'Summary Output'!$B$29/4</f>
        <v>573.3889459192327</v>
      </c>
      <c r="T18" s="198">
        <f>(SUM(T9:T16)-SUM(T22:T27))*'Summary Output'!$B$29/4</f>
        <v>581.12667709864297</v>
      </c>
      <c r="U18" s="198">
        <f>(SUM(U9:U16)-SUM(U22:U27))*'Summary Output'!$B$29/4</f>
        <v>588.95010171294257</v>
      </c>
      <c r="W18" s="91">
        <f>SUM(B18:U18)</f>
        <v>9716.0358560626282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35313.316980617594</v>
      </c>
      <c r="C19" s="56">
        <f t="shared" ref="C19:U19" si="4">SUM(C9:C18)</f>
        <v>35356.328947745955</v>
      </c>
      <c r="D19" s="56">
        <f t="shared" si="4"/>
        <v>35401.780008379639</v>
      </c>
      <c r="E19" s="56">
        <f t="shared" si="4"/>
        <v>40892.29644349606</v>
      </c>
      <c r="F19" s="56">
        <f t="shared" si="4"/>
        <v>42898.816278392893</v>
      </c>
      <c r="G19" s="56">
        <f t="shared" si="4"/>
        <v>43468.136770320569</v>
      </c>
      <c r="H19" s="56">
        <f t="shared" si="4"/>
        <v>44046.456344288388</v>
      </c>
      <c r="I19" s="56">
        <f t="shared" si="4"/>
        <v>44632.803952575196</v>
      </c>
      <c r="J19" s="56">
        <f t="shared" si="4"/>
        <v>45227.300989928161</v>
      </c>
      <c r="K19" s="56">
        <f t="shared" si="4"/>
        <v>45830.07096119276</v>
      </c>
      <c r="L19" s="56">
        <f t="shared" si="4"/>
        <v>46712.615175751118</v>
      </c>
      <c r="M19" s="56">
        <f t="shared" si="4"/>
        <v>47612.300893720356</v>
      </c>
      <c r="N19" s="56">
        <f t="shared" si="4"/>
        <v>48525.104358880155</v>
      </c>
      <c r="O19" s="56">
        <f t="shared" si="4"/>
        <v>49460.093107538174</v>
      </c>
      <c r="P19" s="56">
        <f t="shared" si="4"/>
        <v>50407.80523410999</v>
      </c>
      <c r="Q19" s="56">
        <f t="shared" si="4"/>
        <v>51159.07497960858</v>
      </c>
      <c r="R19" s="56">
        <f t="shared" si="4"/>
        <v>51914.451709627159</v>
      </c>
      <c r="S19" s="56">
        <f t="shared" si="4"/>
        <v>52681.358145989623</v>
      </c>
      <c r="T19" s="56">
        <f t="shared" si="4"/>
        <v>53459.981472217027</v>
      </c>
      <c r="U19" s="56">
        <f t="shared" si="4"/>
        <v>54250.512223201156</v>
      </c>
      <c r="W19" s="91">
        <f>SUM(B19:U19)</f>
        <v>919250.60497758037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Assumptions!G28*(1+Assumptions!$G$25)</f>
        <v>1279.7561657142855</v>
      </c>
      <c r="C22" s="91">
        <f>B22*(1+Assumptions!$G$25)</f>
        <v>1318.1488506857143</v>
      </c>
      <c r="D22" s="91">
        <f>C22*(1+Assumptions!$G$25)</f>
        <v>1357.6933162062858</v>
      </c>
      <c r="E22" s="91">
        <f>D22*(1+Assumptions!$G$25)</f>
        <v>1398.4241156924743</v>
      </c>
      <c r="F22" s="91">
        <f>E22*(1+Assumptions!$G$25)</f>
        <v>1440.3768391632486</v>
      </c>
      <c r="G22" s="91">
        <f>F22*(1+Assumptions!$G$25)</f>
        <v>1483.5881443381461</v>
      </c>
      <c r="H22" s="91">
        <f>G22*(1+Assumptions!$G$25)</f>
        <v>1528.0957886682904</v>
      </c>
      <c r="I22" s="91">
        <f>H22*(1+Assumptions!$G$25)</f>
        <v>1573.9386623283392</v>
      </c>
      <c r="J22" s="91">
        <f>I22*(1+Assumptions!$G$25)</f>
        <v>1621.1568221981895</v>
      </c>
      <c r="K22" s="91">
        <f>J22*(1+Assumptions!$G$25)</f>
        <v>1669.7915268641352</v>
      </c>
      <c r="L22" s="91">
        <f>K22*(1+Assumptions!$G$25)</f>
        <v>1719.8852726700593</v>
      </c>
      <c r="M22" s="91">
        <f>L22*(1+Assumptions!$G$25)</f>
        <v>1771.481830850161</v>
      </c>
      <c r="N22" s="91">
        <f>M22*(1+Assumptions!$G$25)</f>
        <v>1824.626285775666</v>
      </c>
      <c r="O22" s="91">
        <f>N22*(1+Assumptions!$G$25)</f>
        <v>1879.3650743489361</v>
      </c>
      <c r="P22" s="91">
        <f>O22*(1+Assumptions!$G$25)</f>
        <v>1935.7460265794043</v>
      </c>
      <c r="Q22" s="91">
        <f>P22*(1+Assumptions!$G$25)</f>
        <v>1993.8184073767866</v>
      </c>
      <c r="R22" s="91">
        <f>Q22*(1+Assumptions!$G$25)</f>
        <v>2053.6329595980901</v>
      </c>
      <c r="S22" s="91">
        <f>R22*(1+Assumptions!$G$25)</f>
        <v>2115.2419483860331</v>
      </c>
      <c r="T22" s="91">
        <f>S22*(1+Assumptions!$G$25)</f>
        <v>2178.6992068376139</v>
      </c>
      <c r="U22" s="91">
        <f>T22*(1+Assumptions!$G$25)</f>
        <v>2244.0601830427422</v>
      </c>
      <c r="W22" s="91">
        <f t="shared" ref="W22:W28" si="5">SUM(B22:U22)</f>
        <v>34387.527427324596</v>
      </c>
    </row>
    <row r="23" spans="1:55">
      <c r="A23" s="3" t="s">
        <v>49</v>
      </c>
      <c r="B23" s="127">
        <f>Assumptions!$G$29*(1+Assumptions!$G$25)</f>
        <v>823.4720525687361</v>
      </c>
      <c r="C23" s="56">
        <f>B23*(1+Assumptions!$G$25)</f>
        <v>848.17621414579821</v>
      </c>
      <c r="D23" s="56">
        <f>C23*(1+Assumptions!$G$25)</f>
        <v>873.6215005701722</v>
      </c>
      <c r="E23" s="127">
        <f>Assumptions!$G$19*Assumptions!$G$23*(1+Assumptions!$G$25)^(E5-2000)/1000</f>
        <v>899.83014558727712</v>
      </c>
      <c r="F23" s="127">
        <f>Assumptions!$G$19*Assumptions!$G$23*(1+Assumptions!$G$25)^(F5-2000)/1000</f>
        <v>926.82504995489535</v>
      </c>
      <c r="G23" s="127">
        <f>Assumptions!$G$19*Assumptions!$G$23*(1+Assumptions!$G$25)^(G5-2000)/1000</f>
        <v>954.62980145354231</v>
      </c>
      <c r="H23" s="127">
        <f>Assumptions!$G$19*Assumptions!$G$23*(1+Assumptions!$G$25)^(H5-2000)/1000</f>
        <v>983.26869549714854</v>
      </c>
      <c r="I23" s="127">
        <f>Assumptions!$G$19*Assumptions!$G$23*(1+Assumptions!$G$25)^(I5-2000)/1000</f>
        <v>1012.7667563620629</v>
      </c>
      <c r="J23" s="127">
        <f>Assumptions!$G$19*Assumptions!$G$23*(1+Assumptions!$G$25)^(J5-2000)/1000</f>
        <v>1043.1497590529248</v>
      </c>
      <c r="K23" s="127">
        <f>Assumptions!$G$19*Assumptions!$G$23*(1+Assumptions!$G$25)^(K5-2000)/1000</f>
        <v>1074.4442518245125</v>
      </c>
      <c r="L23" s="127">
        <f>Assumptions!$G$19*Assumptions!$G$23*(1+Assumptions!$G$25)^(L5-2000)/1000</f>
        <v>1106.6775793792481</v>
      </c>
      <c r="M23" s="127">
        <f>Assumptions!$G$19*Assumptions!$G$23*(1+Assumptions!$G$25)^(M5-2000)/1000</f>
        <v>1139.8779067606254</v>
      </c>
      <c r="N23" s="127">
        <f>Assumptions!$G$19*Assumptions!$G$23*(1+Assumptions!$G$25)^(N5-2000)/1000</f>
        <v>1174.0742439634439</v>
      </c>
      <c r="O23" s="127">
        <f>Assumptions!$G$19*Assumptions!$G$23*(1+Assumptions!$G$25)^(O5-2000)/1000</f>
        <v>1209.2964712823473</v>
      </c>
      <c r="P23" s="127">
        <f>Assumptions!$G$19*Assumptions!$G$23*(1+Assumptions!$G$25)^(P5-2000)/1000</f>
        <v>1245.5753654208179</v>
      </c>
      <c r="Q23" s="127">
        <f>Assumptions!$G$19*Assumptions!$G$23*(1+Assumptions!$G$25)^(Q5-2000)/1000</f>
        <v>1282.9426263834423</v>
      </c>
      <c r="R23" s="127">
        <f>Assumptions!$G$19*Assumptions!$G$23*(1+Assumptions!$G$25)^(R5-2000)/1000</f>
        <v>1321.4309051749456</v>
      </c>
      <c r="S23" s="127">
        <f>Assumptions!$G$19*Assumptions!$G$23*(1+Assumptions!$G$25)^(S5-2000)/1000</f>
        <v>1361.0738323301939</v>
      </c>
      <c r="T23" s="127">
        <f>Assumptions!$G$19*Assumptions!$G$23*(1+Assumptions!$G$25)^(T5-2000)/1000</f>
        <v>1401.9060473000995</v>
      </c>
      <c r="U23" s="127">
        <f>Assumptions!$G$19*Assumptions!$G$23*(1+Assumptions!$G$25)^(U5-2000)/1000</f>
        <v>1443.9632287191027</v>
      </c>
      <c r="W23" s="91">
        <f t="shared" si="5"/>
        <v>22127.002433731333</v>
      </c>
    </row>
    <row r="24" spans="1:55">
      <c r="A24" s="3" t="s">
        <v>256</v>
      </c>
      <c r="B24" s="127">
        <f>Assumptions!$G$24*Assumptions!$G$11*Assumptions!$G$8/1000*(1+Assumptions!$G$25)</f>
        <v>695.25</v>
      </c>
      <c r="C24" s="91">
        <f>B24*(1+Assumptions!$G$25)</f>
        <v>716.10750000000007</v>
      </c>
      <c r="D24" s="91">
        <f>C24*(1+Assumptions!$G$25)</f>
        <v>737.59072500000013</v>
      </c>
      <c r="E24" s="91">
        <f>D24*(1+Assumptions!$G$25)</f>
        <v>759.71844675000011</v>
      </c>
      <c r="F24" s="91">
        <f>E24*(1+Assumptions!$G$25)</f>
        <v>782.51000015250008</v>
      </c>
      <c r="G24" s="91">
        <f>F24*(1+Assumptions!$G$25)</f>
        <v>805.98530015707513</v>
      </c>
      <c r="H24" s="91">
        <f>G24*(1+Assumptions!$G$25)</f>
        <v>830.16485916178738</v>
      </c>
      <c r="I24" s="91">
        <f>H24*(1+Assumptions!$G$25)</f>
        <v>855.06980493664105</v>
      </c>
      <c r="J24" s="91">
        <f>I24*(1+Assumptions!$G$25)</f>
        <v>880.72189908474036</v>
      </c>
      <c r="K24" s="91">
        <f>J24*(1+Assumptions!$G$25)</f>
        <v>907.14355605728258</v>
      </c>
      <c r="L24" s="91">
        <f>K24*(1+Assumptions!$G$25)</f>
        <v>934.35786273900112</v>
      </c>
      <c r="M24" s="91">
        <f>L24*(1+Assumptions!$G$25)</f>
        <v>962.38859862117113</v>
      </c>
      <c r="N24" s="91">
        <f>M24*(1+Assumptions!$G$25)</f>
        <v>991.26025657980631</v>
      </c>
      <c r="O24" s="91">
        <f>N24*(1+Assumptions!$G$25)</f>
        <v>1020.9980642772006</v>
      </c>
      <c r="P24" s="91">
        <f>O24*(1+Assumptions!$G$25)</f>
        <v>1051.6280062055166</v>
      </c>
      <c r="Q24" s="91">
        <f>P24*(1+Assumptions!$G$25)</f>
        <v>1083.1768463916821</v>
      </c>
      <c r="R24" s="91">
        <f>Q24*(1+Assumptions!$G$25)</f>
        <v>1115.6721517834326</v>
      </c>
      <c r="S24" s="91">
        <f>R24*(1+Assumptions!$G$25)</f>
        <v>1149.1423163369357</v>
      </c>
      <c r="T24" s="91">
        <f>S24*(1+Assumptions!$G$25)</f>
        <v>1183.6165858270438</v>
      </c>
      <c r="U24" s="91">
        <f>T24*(1+Assumptions!$G$25)</f>
        <v>1219.1250834018551</v>
      </c>
      <c r="W24" s="91">
        <f t="shared" si="5"/>
        <v>18681.627863463673</v>
      </c>
    </row>
    <row r="25" spans="1:55">
      <c r="A25" s="3" t="s">
        <v>112</v>
      </c>
      <c r="B25" s="127">
        <f>Assumptions!G31*(1+Assumptions!$G$25)</f>
        <v>331.91867714285718</v>
      </c>
      <c r="C25" s="91">
        <f>B25*(1+Assumptions!$G$25)</f>
        <v>341.87623745714291</v>
      </c>
      <c r="D25" s="91">
        <f>C25*(1+Assumptions!$G$25)</f>
        <v>352.13252458085719</v>
      </c>
      <c r="E25" s="91">
        <f>D25*(1+Assumptions!$G$25)</f>
        <v>362.69650031828292</v>
      </c>
      <c r="F25" s="91">
        <f>E25*(1+Assumptions!$G$25)</f>
        <v>373.57739532783143</v>
      </c>
      <c r="G25" s="91">
        <f>F25*(1+Assumptions!$G$25)</f>
        <v>384.78471718766639</v>
      </c>
      <c r="H25" s="91">
        <f>G25*(1+Assumptions!$G$25)</f>
        <v>396.3282587032964</v>
      </c>
      <c r="I25" s="91">
        <f>H25*(1+Assumptions!$G$25)</f>
        <v>408.21810646439531</v>
      </c>
      <c r="J25" s="91">
        <f>I25*(1+Assumptions!$G$25)</f>
        <v>420.46464965832718</v>
      </c>
      <c r="K25" s="91">
        <f>J25*(1+Assumptions!$G$25)</f>
        <v>433.07858914807701</v>
      </c>
      <c r="L25" s="91">
        <f>K25*(1+Assumptions!$G$25)</f>
        <v>446.07094682251932</v>
      </c>
      <c r="M25" s="91">
        <f>L25*(1+Assumptions!$G$25)</f>
        <v>459.45307522719492</v>
      </c>
      <c r="N25" s="91">
        <f>M25*(1+Assumptions!$G$25)</f>
        <v>473.23666748401075</v>
      </c>
      <c r="O25" s="91">
        <f>N25*(1+Assumptions!$G$25)</f>
        <v>487.4337675085311</v>
      </c>
      <c r="P25" s="91">
        <f>O25*(1+Assumptions!$G$25)</f>
        <v>502.05678053378705</v>
      </c>
      <c r="Q25" s="91">
        <f>P25*(1+Assumptions!$G$25)</f>
        <v>517.11848394980063</v>
      </c>
      <c r="R25" s="91">
        <f>Q25*(1+Assumptions!$G$25)</f>
        <v>532.6320384682947</v>
      </c>
      <c r="S25" s="91">
        <f>R25*(1+Assumptions!$G$25)</f>
        <v>548.61099962234357</v>
      </c>
      <c r="T25" s="91">
        <f>S25*(1+Assumptions!$G$25)</f>
        <v>565.06932961101393</v>
      </c>
      <c r="U25" s="91">
        <f>T25*(1+Assumptions!$G$25)</f>
        <v>582.02140949934437</v>
      </c>
      <c r="W25" s="91">
        <f t="shared" si="5"/>
        <v>8918.7791547155739</v>
      </c>
    </row>
    <row r="26" spans="1:55">
      <c r="A26" s="3" t="s">
        <v>189</v>
      </c>
      <c r="B26" s="456">
        <v>174.46</v>
      </c>
      <c r="C26" s="456">
        <v>348.92</v>
      </c>
      <c r="D26" s="456">
        <v>436.15</v>
      </c>
      <c r="E26" s="456">
        <v>436.15</v>
      </c>
      <c r="F26" s="456">
        <v>436.15</v>
      </c>
      <c r="G26" s="456">
        <v>523.38</v>
      </c>
      <c r="H26" s="456">
        <v>523.38</v>
      </c>
      <c r="I26" s="456">
        <v>523.38</v>
      </c>
      <c r="J26" s="456">
        <v>523.38</v>
      </c>
      <c r="K26" s="456">
        <v>523.38</v>
      </c>
      <c r="L26" s="456">
        <v>523.38</v>
      </c>
      <c r="M26" s="456">
        <v>523.38</v>
      </c>
      <c r="N26" s="456">
        <v>872.3</v>
      </c>
      <c r="O26" s="456">
        <v>872.3</v>
      </c>
      <c r="P26" s="456">
        <v>1308.45</v>
      </c>
      <c r="Q26" s="456">
        <v>743.93104499999993</v>
      </c>
      <c r="R26" s="456">
        <v>758.80966589999991</v>
      </c>
      <c r="S26" s="456">
        <v>773.98585921799997</v>
      </c>
      <c r="T26" s="456">
        <v>789.46557640235994</v>
      </c>
      <c r="U26" s="456">
        <v>805.25488793040722</v>
      </c>
      <c r="W26" s="91">
        <f t="shared" si="5"/>
        <v>12419.987034450767</v>
      </c>
    </row>
    <row r="27" spans="1:55" s="16" customFormat="1">
      <c r="A27" s="3" t="s">
        <v>185</v>
      </c>
      <c r="B27" s="146">
        <f>B84</f>
        <v>608.98829025895418</v>
      </c>
      <c r="C27" s="146">
        <f t="shared" ref="C27:U27" si="6">C84</f>
        <v>590.15360086950193</v>
      </c>
      <c r="D27" s="146">
        <f t="shared" si="6"/>
        <v>571.31891148004979</v>
      </c>
      <c r="E27" s="146">
        <f t="shared" si="6"/>
        <v>552.48422209059765</v>
      </c>
      <c r="F27" s="146">
        <f t="shared" si="6"/>
        <v>533.6495327011454</v>
      </c>
      <c r="G27" s="146">
        <f t="shared" si="6"/>
        <v>514.81484331169327</v>
      </c>
      <c r="H27" s="146">
        <f t="shared" si="6"/>
        <v>495.98015392224107</v>
      </c>
      <c r="I27" s="146">
        <f t="shared" si="6"/>
        <v>477.14546453278894</v>
      </c>
      <c r="J27" s="146">
        <f t="shared" si="6"/>
        <v>458.31077514333674</v>
      </c>
      <c r="K27" s="146">
        <f t="shared" si="6"/>
        <v>439.47608575388455</v>
      </c>
      <c r="L27" s="146">
        <f t="shared" si="6"/>
        <v>420.64139636443235</v>
      </c>
      <c r="M27" s="146">
        <f t="shared" si="6"/>
        <v>401.80670697498022</v>
      </c>
      <c r="N27" s="146">
        <f t="shared" si="6"/>
        <v>382.97201758552802</v>
      </c>
      <c r="O27" s="146">
        <f t="shared" si="6"/>
        <v>364.13732819607583</v>
      </c>
      <c r="P27" s="146">
        <f t="shared" si="6"/>
        <v>345.30263880662363</v>
      </c>
      <c r="Q27" s="146">
        <f t="shared" si="6"/>
        <v>326.4679494171715</v>
      </c>
      <c r="R27" s="146">
        <f t="shared" si="6"/>
        <v>307.6332600277193</v>
      </c>
      <c r="S27" s="146">
        <f t="shared" si="6"/>
        <v>288.79857063826711</v>
      </c>
      <c r="T27" s="146">
        <f t="shared" si="6"/>
        <v>269.96388124881497</v>
      </c>
      <c r="U27" s="146">
        <f t="shared" si="6"/>
        <v>251.12919185936278</v>
      </c>
      <c r="V27" s="91"/>
      <c r="W27" s="91">
        <f t="shared" si="5"/>
        <v>8601.1748211831709</v>
      </c>
    </row>
    <row r="28" spans="1:55">
      <c r="A28" s="3" t="s">
        <v>62</v>
      </c>
      <c r="B28" s="127">
        <f t="shared" ref="B28:U28" si="7">SUM(B22:B27)</f>
        <v>3913.8451856848333</v>
      </c>
      <c r="C28" s="127">
        <f t="shared" si="7"/>
        <v>4163.3824031581571</v>
      </c>
      <c r="D28" s="127">
        <f t="shared" si="7"/>
        <v>4328.5069778373654</v>
      </c>
      <c r="E28" s="127">
        <f t="shared" si="7"/>
        <v>4409.3034304386329</v>
      </c>
      <c r="F28" s="127">
        <f t="shared" si="7"/>
        <v>4493.088817299621</v>
      </c>
      <c r="G28" s="127">
        <f t="shared" si="7"/>
        <v>4667.1828064481224</v>
      </c>
      <c r="H28" s="127">
        <f t="shared" si="7"/>
        <v>4757.2177559527636</v>
      </c>
      <c r="I28" s="127">
        <f t="shared" si="7"/>
        <v>4850.5187946242268</v>
      </c>
      <c r="J28" s="127">
        <f t="shared" si="7"/>
        <v>4947.1839051375191</v>
      </c>
      <c r="K28" s="127">
        <f t="shared" si="7"/>
        <v>5047.3140096478919</v>
      </c>
      <c r="L28" s="127">
        <f t="shared" si="7"/>
        <v>5151.0130579752604</v>
      </c>
      <c r="M28" s="127">
        <f t="shared" si="7"/>
        <v>5258.3881184341335</v>
      </c>
      <c r="N28" s="127">
        <f t="shared" si="7"/>
        <v>5718.4694713884546</v>
      </c>
      <c r="O28" s="127">
        <f t="shared" si="7"/>
        <v>5833.5307056130905</v>
      </c>
      <c r="P28" s="127">
        <f t="shared" si="7"/>
        <v>6388.7588175461497</v>
      </c>
      <c r="Q28" s="127">
        <f t="shared" si="7"/>
        <v>5947.4553585188842</v>
      </c>
      <c r="R28" s="127">
        <f t="shared" si="7"/>
        <v>6089.8109809524822</v>
      </c>
      <c r="S28" s="127">
        <f t="shared" si="7"/>
        <v>6236.8535265317732</v>
      </c>
      <c r="T28" s="127">
        <f t="shared" si="7"/>
        <v>6388.7206272269459</v>
      </c>
      <c r="U28" s="127">
        <f t="shared" si="7"/>
        <v>6545.553984452813</v>
      </c>
      <c r="W28" s="91">
        <f t="shared" si="5"/>
        <v>105136.0987348691</v>
      </c>
    </row>
    <row r="29" spans="1:55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20">
        <f t="shared" ref="B31:U31" si="8">B19-B28</f>
        <v>31399.471794932761</v>
      </c>
      <c r="C31" s="120">
        <f t="shared" si="8"/>
        <v>31192.946544587798</v>
      </c>
      <c r="D31" s="120">
        <f t="shared" si="8"/>
        <v>31073.273030542274</v>
      </c>
      <c r="E31" s="120">
        <f t="shared" si="8"/>
        <v>36482.993013057428</v>
      </c>
      <c r="F31" s="120">
        <f t="shared" si="8"/>
        <v>38405.727461093273</v>
      </c>
      <c r="G31" s="120">
        <f t="shared" si="8"/>
        <v>38800.953963872445</v>
      </c>
      <c r="H31" s="120">
        <f t="shared" si="8"/>
        <v>39289.238588335626</v>
      </c>
      <c r="I31" s="120">
        <f t="shared" si="8"/>
        <v>39782.285157950966</v>
      </c>
      <c r="J31" s="120">
        <f t="shared" si="8"/>
        <v>40280.11708479064</v>
      </c>
      <c r="K31" s="120">
        <f t="shared" si="8"/>
        <v>40782.75695154487</v>
      </c>
      <c r="L31" s="120">
        <f t="shared" si="8"/>
        <v>41561.602117775859</v>
      </c>
      <c r="M31" s="120">
        <f t="shared" si="8"/>
        <v>42353.912775286226</v>
      </c>
      <c r="N31" s="120">
        <f t="shared" si="8"/>
        <v>42806.634887491702</v>
      </c>
      <c r="O31" s="120">
        <f t="shared" si="8"/>
        <v>43626.562401925083</v>
      </c>
      <c r="P31" s="120">
        <f t="shared" si="8"/>
        <v>44019.04641656384</v>
      </c>
      <c r="Q31" s="120">
        <f t="shared" si="8"/>
        <v>45211.619621089696</v>
      </c>
      <c r="R31" s="120">
        <f t="shared" si="8"/>
        <v>45824.640728674676</v>
      </c>
      <c r="S31" s="120">
        <f t="shared" si="8"/>
        <v>46444.504619457846</v>
      </c>
      <c r="T31" s="120">
        <f t="shared" si="8"/>
        <v>47071.26084499008</v>
      </c>
      <c r="U31" s="120">
        <f t="shared" si="8"/>
        <v>47704.958238748346</v>
      </c>
      <c r="W31" s="91">
        <f>SUM(B31:U31)</f>
        <v>814114.50624271145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Depreciation!C37</f>
        <v>7533.8757557808767</v>
      </c>
      <c r="C33" s="127">
        <f>Depreciation!D37</f>
        <v>7533.8757557808767</v>
      </c>
      <c r="D33" s="127">
        <f>Depreciation!E37</f>
        <v>7533.8757557808767</v>
      </c>
      <c r="E33" s="127">
        <f>Depreciation!F37</f>
        <v>7533.8757557808767</v>
      </c>
      <c r="F33" s="127">
        <f>Depreciation!G37</f>
        <v>7533.8757557808767</v>
      </c>
      <c r="G33" s="127">
        <f>Depreciation!H37</f>
        <v>7533.8757557808767</v>
      </c>
      <c r="H33" s="127">
        <f>Depreciation!I37</f>
        <v>7533.8757557808767</v>
      </c>
      <c r="I33" s="127">
        <f>Depreciation!J37</f>
        <v>7533.8757557808767</v>
      </c>
      <c r="J33" s="127">
        <f>Depreciation!K37</f>
        <v>7533.8757557808767</v>
      </c>
      <c r="K33" s="127">
        <f>Depreciation!L37</f>
        <v>7533.8757557808767</v>
      </c>
      <c r="L33" s="127">
        <f>Depreciation!M37</f>
        <v>7533.8757557808767</v>
      </c>
      <c r="M33" s="127">
        <f>Depreciation!N37</f>
        <v>7533.8757557808767</v>
      </c>
      <c r="N33" s="127">
        <f>Depreciation!O37</f>
        <v>7533.8757557808767</v>
      </c>
      <c r="O33" s="127">
        <f>Depreciation!P37</f>
        <v>7533.8757557808767</v>
      </c>
      <c r="P33" s="127">
        <f>Depreciation!Q37</f>
        <v>7533.8757557808767</v>
      </c>
      <c r="Q33" s="127">
        <f>Depreciation!R37</f>
        <v>7533.8757557808767</v>
      </c>
      <c r="R33" s="127">
        <f>Depreciation!S37</f>
        <v>7533.8757557808767</v>
      </c>
      <c r="S33" s="127">
        <f>Depreciation!T37</f>
        <v>7533.8757557808767</v>
      </c>
      <c r="T33" s="127">
        <f>Depreciation!U37</f>
        <v>7533.8757557808767</v>
      </c>
      <c r="U33" s="127">
        <f>Depreciation!V37</f>
        <v>7533.8757557808767</v>
      </c>
      <c r="W33" s="91">
        <f>SUM(B33:U33)</f>
        <v>150677.51511561748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9">B31-B33</f>
        <v>23865.596039151882</v>
      </c>
      <c r="C35" s="132">
        <f t="shared" si="9"/>
        <v>23659.070788806923</v>
      </c>
      <c r="D35" s="132">
        <f t="shared" si="9"/>
        <v>23539.397274761395</v>
      </c>
      <c r="E35" s="132">
        <f t="shared" si="9"/>
        <v>28949.11725727655</v>
      </c>
      <c r="F35" s="132">
        <f t="shared" si="9"/>
        <v>30871.851705312394</v>
      </c>
      <c r="G35" s="132">
        <f t="shared" si="9"/>
        <v>31267.078208091567</v>
      </c>
      <c r="H35" s="132">
        <f t="shared" si="9"/>
        <v>31755.362832554747</v>
      </c>
      <c r="I35" s="132">
        <f t="shared" si="9"/>
        <v>32248.409402170088</v>
      </c>
      <c r="J35" s="132">
        <f t="shared" si="9"/>
        <v>32746.241329009761</v>
      </c>
      <c r="K35" s="132">
        <f t="shared" si="9"/>
        <v>33248.881195763992</v>
      </c>
      <c r="L35" s="132">
        <f t="shared" si="9"/>
        <v>34027.726361994981</v>
      </c>
      <c r="M35" s="132">
        <f t="shared" si="9"/>
        <v>34820.037019505347</v>
      </c>
      <c r="N35" s="132">
        <f t="shared" si="9"/>
        <v>35272.759131710824</v>
      </c>
      <c r="O35" s="132">
        <f t="shared" si="9"/>
        <v>36092.686646144204</v>
      </c>
      <c r="P35" s="132">
        <f t="shared" si="9"/>
        <v>36485.170660782962</v>
      </c>
      <c r="Q35" s="132">
        <f t="shared" si="9"/>
        <v>37677.743865308817</v>
      </c>
      <c r="R35" s="132">
        <f t="shared" si="9"/>
        <v>38290.764972893798</v>
      </c>
      <c r="S35" s="132">
        <f t="shared" si="9"/>
        <v>38910.628863676968</v>
      </c>
      <c r="T35" s="132">
        <f t="shared" si="9"/>
        <v>39537.385089209201</v>
      </c>
      <c r="U35" s="132">
        <f t="shared" si="9"/>
        <v>40171.082482967468</v>
      </c>
      <c r="W35" s="91">
        <f>SUM(B35:U35)</f>
        <v>663436.99112709379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IS!B38*Allocation!$E$12</f>
        <v>14038.121018428183</v>
      </c>
      <c r="C37" s="127">
        <f>IS!C38*Allocation!$E$12</f>
        <v>13827.484002234436</v>
      </c>
      <c r="D37" s="127">
        <f>IS!D38*Allocation!$E$12</f>
        <v>13530.373367832524</v>
      </c>
      <c r="E37" s="127">
        <f>IS!E38*Allocation!$E$12</f>
        <v>13297.142510846699</v>
      </c>
      <c r="F37" s="127">
        <f>IS!F38*Allocation!$E$12</f>
        <v>12884.507426272858</v>
      </c>
      <c r="G37" s="127">
        <f>IS!G38*Allocation!$E$12</f>
        <v>12395.428082244302</v>
      </c>
      <c r="H37" s="127">
        <f>IS!H38*Allocation!$E$12</f>
        <v>11845.768749295621</v>
      </c>
      <c r="I37" s="127">
        <f>IS!I38*Allocation!$E$12</f>
        <v>11270.724168021539</v>
      </c>
      <c r="J37" s="127">
        <f>IS!J38*Allocation!$E$12</f>
        <v>10556.42908014077</v>
      </c>
      <c r="K37" s="127">
        <f>IS!K38*Allocation!$E$12</f>
        <v>9764.9369113055454</v>
      </c>
      <c r="L37" s="127">
        <f>IS!L38*Allocation!$E$12</f>
        <v>8932.1063208931118</v>
      </c>
      <c r="M37" s="127">
        <f>IS!M38*Allocation!$E$12</f>
        <v>8024.0439027996035</v>
      </c>
      <c r="N37" s="127">
        <f>IS!N38*Allocation!$E$12</f>
        <v>7070.8524525560042</v>
      </c>
      <c r="O37" s="127">
        <f>IS!O38*Allocation!$E$12</f>
        <v>6140.2255183874504</v>
      </c>
      <c r="P37" s="127">
        <f>IS!P38*Allocation!$E$12</f>
        <v>5197.8701351855407</v>
      </c>
      <c r="Q37" s="127">
        <f>IS!Q38*Allocation!$E$12</f>
        <v>4221.2217868752259</v>
      </c>
      <c r="R37" s="127">
        <f>IS!R38*Allocation!$E$12</f>
        <v>3185.2937776897925</v>
      </c>
      <c r="S37" s="127">
        <f>IS!S38*Allocation!$E$12</f>
        <v>2208.5179462378119</v>
      </c>
      <c r="T37" s="127">
        <f>IS!T38*Allocation!$E$12</f>
        <v>1370.9537054861132</v>
      </c>
      <c r="U37" s="127">
        <f>IS!U38*Allocation!$E$12</f>
        <v>535.42919500108565</v>
      </c>
      <c r="W37" s="91">
        <f>SUM(B37:U37)</f>
        <v>170297.43005773419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10">B35-B37</f>
        <v>9827.4750207236993</v>
      </c>
      <c r="C39" s="132">
        <f t="shared" si="10"/>
        <v>9831.5867865724867</v>
      </c>
      <c r="D39" s="132">
        <f t="shared" si="10"/>
        <v>10009.023906928871</v>
      </c>
      <c r="E39" s="132">
        <f t="shared" si="10"/>
        <v>15651.974746429851</v>
      </c>
      <c r="F39" s="132">
        <f t="shared" si="10"/>
        <v>17987.344279039535</v>
      </c>
      <c r="G39" s="132">
        <f t="shared" si="10"/>
        <v>18871.650125847264</v>
      </c>
      <c r="H39" s="132">
        <f t="shared" si="10"/>
        <v>19909.594083259126</v>
      </c>
      <c r="I39" s="132">
        <f t="shared" si="10"/>
        <v>20977.68523414855</v>
      </c>
      <c r="J39" s="132">
        <f t="shared" si="10"/>
        <v>22189.812248868991</v>
      </c>
      <c r="K39" s="132">
        <f t="shared" si="10"/>
        <v>23483.944284458448</v>
      </c>
      <c r="L39" s="132">
        <f t="shared" si="10"/>
        <v>25095.620041101869</v>
      </c>
      <c r="M39" s="132">
        <f t="shared" si="10"/>
        <v>26795.993116705744</v>
      </c>
      <c r="N39" s="132">
        <f t="shared" si="10"/>
        <v>28201.906679154818</v>
      </c>
      <c r="O39" s="132">
        <f t="shared" si="10"/>
        <v>29952.461127756753</v>
      </c>
      <c r="P39" s="132">
        <f t="shared" si="10"/>
        <v>31287.30052559742</v>
      </c>
      <c r="Q39" s="132">
        <f t="shared" si="10"/>
        <v>33456.522078433591</v>
      </c>
      <c r="R39" s="132">
        <f t="shared" si="10"/>
        <v>35105.471195204009</v>
      </c>
      <c r="S39" s="132">
        <f t="shared" si="10"/>
        <v>36702.110917439153</v>
      </c>
      <c r="T39" s="132">
        <f t="shared" si="10"/>
        <v>38166.431383723087</v>
      </c>
      <c r="U39" s="132">
        <f t="shared" si="10"/>
        <v>39635.653287966379</v>
      </c>
      <c r="W39" s="91">
        <f>SUM(B39:U39)</f>
        <v>493139.56106935965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B39*-Assumptions!$G$38</f>
        <v>-589.64850124342195</v>
      </c>
      <c r="C41" s="127">
        <f>C39*-Assumptions!$G$38</f>
        <v>-589.89520719434915</v>
      </c>
      <c r="D41" s="127">
        <f>D39*-Assumptions!$G$38</f>
        <v>-600.54143441573228</v>
      </c>
      <c r="E41" s="127">
        <f>E39*-Assumptions!$G$38</f>
        <v>-939.118484785791</v>
      </c>
      <c r="F41" s="127">
        <f>F39*-Assumptions!$G$38</f>
        <v>-1079.240656742372</v>
      </c>
      <c r="G41" s="127">
        <f>G39*-Assumptions!$G$38</f>
        <v>-1132.2990075508358</v>
      </c>
      <c r="H41" s="127">
        <f>H39*-Assumptions!$G$38</f>
        <v>-1194.5756449955475</v>
      </c>
      <c r="I41" s="127">
        <f>I39*-Assumptions!$G$38</f>
        <v>-1258.6611140489129</v>
      </c>
      <c r="J41" s="127">
        <f>J39*-Assumptions!$G$38</f>
        <v>-1331.3887349321394</v>
      </c>
      <c r="K41" s="127">
        <f>K39*-Assumptions!$G$38</f>
        <v>-1409.0366570675069</v>
      </c>
      <c r="L41" s="127">
        <f>L39*-Assumptions!$G$38</f>
        <v>-1505.7372024661122</v>
      </c>
      <c r="M41" s="127">
        <f>M39*-Assumptions!$G$38</f>
        <v>-1607.7595870023445</v>
      </c>
      <c r="N41" s="127">
        <f>N39*-Assumptions!$G$38</f>
        <v>-1692.114400749289</v>
      </c>
      <c r="O41" s="127">
        <f>O39*-Assumptions!$G$38</f>
        <v>-1797.1476676654052</v>
      </c>
      <c r="P41" s="127">
        <f>P39*-Assumptions!$G$38</f>
        <v>-1877.238031535845</v>
      </c>
      <c r="Q41" s="127">
        <f>Q39*-Assumptions!$G$38</f>
        <v>-2007.3913247060154</v>
      </c>
      <c r="R41" s="127">
        <f>R39*-Assumptions!$G$38</f>
        <v>-2106.3282717122406</v>
      </c>
      <c r="S41" s="127">
        <f>S39*-Assumptions!$G$38</f>
        <v>-2202.1266550463492</v>
      </c>
      <c r="T41" s="127">
        <f>T39*-Assumptions!$G$38</f>
        <v>-2289.9858830233852</v>
      </c>
      <c r="U41" s="127">
        <f>U39*-Assumptions!$G$38</f>
        <v>-2378.1391972779825</v>
      </c>
      <c r="W41" s="91">
        <f>SUM(B41:U41)</f>
        <v>-29588.37366416158</v>
      </c>
    </row>
    <row r="42" spans="1:23">
      <c r="A42" s="3" t="s">
        <v>69</v>
      </c>
      <c r="B42" s="121">
        <f>(B39+B41)*-Assumptions!$G$37</f>
        <v>-3233.239281818097</v>
      </c>
      <c r="C42" s="121">
        <f>(C39+C41)*-Assumptions!$G$37</f>
        <v>-3234.5920527823478</v>
      </c>
      <c r="D42" s="121">
        <f>(D39+D41)*-Assumptions!$G$37</f>
        <v>-3292.9688653795984</v>
      </c>
      <c r="E42" s="121">
        <f>(E39+E41)*-Assumptions!$G$37</f>
        <v>-5149.4996915754209</v>
      </c>
      <c r="F42" s="121">
        <f>(F39+F41)*-Assumptions!$G$37</f>
        <v>-5917.8362678040066</v>
      </c>
      <c r="G42" s="121">
        <f>(G39+G41)*-Assumptions!$G$37</f>
        <v>-6208.7728914037498</v>
      </c>
      <c r="H42" s="121">
        <f>(H39+H41)*-Assumptions!$G$37</f>
        <v>-6550.2564533922523</v>
      </c>
      <c r="I42" s="121">
        <f>(I39+I41)*-Assumptions!$G$37</f>
        <v>-6901.6584420348736</v>
      </c>
      <c r="J42" s="121">
        <f>(J39+J41)*-Assumptions!$G$37</f>
        <v>-7300.4482298778985</v>
      </c>
      <c r="K42" s="121">
        <f>(K39+K41)*-Assumptions!$G$37</f>
        <v>-7726.2176695868293</v>
      </c>
      <c r="L42" s="121">
        <f>(L39+L41)*-Assumptions!$G$37</f>
        <v>-8256.458993522514</v>
      </c>
      <c r="M42" s="121">
        <f>(M39+M41)*-Assumptions!$G$37</f>
        <v>-8815.8817353961895</v>
      </c>
      <c r="N42" s="121">
        <f>(N39+N41)*-Assumptions!$G$37</f>
        <v>-9278.4272974419346</v>
      </c>
      <c r="O42" s="121">
        <f>(O39+O41)*-Assumptions!$G$37</f>
        <v>-9854.3597110319715</v>
      </c>
      <c r="P42" s="121">
        <f>(P39+P41)*-Assumptions!$G$37</f>
        <v>-10293.52187292155</v>
      </c>
      <c r="Q42" s="121">
        <f>(Q39+Q41)*-Assumptions!$G$37</f>
        <v>-11007.195763804652</v>
      </c>
      <c r="R42" s="121">
        <f>(R39+R41)*-Assumptions!$G$37</f>
        <v>-11549.700023222118</v>
      </c>
      <c r="S42" s="121">
        <f>(S39+S41)*-Assumptions!$G$37</f>
        <v>-12074.99449183748</v>
      </c>
      <c r="T42" s="121">
        <f>(T39+T41)*-Assumptions!$G$37</f>
        <v>-12556.755925244895</v>
      </c>
      <c r="U42" s="121">
        <f>(U39+U41)*-Assumptions!$G$37</f>
        <v>-13040.129931740938</v>
      </c>
      <c r="W42" s="91">
        <f>SUM(B42:U42)</f>
        <v>-162242.91559181927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1">SUM(B39:B42)</f>
        <v>6004.5872376621801</v>
      </c>
      <c r="C44" s="134">
        <f t="shared" si="11"/>
        <v>6007.0995265957899</v>
      </c>
      <c r="D44" s="134">
        <f t="shared" si="11"/>
        <v>6115.5136071335401</v>
      </c>
      <c r="E44" s="134">
        <f t="shared" si="11"/>
        <v>9563.3565700686377</v>
      </c>
      <c r="F44" s="134">
        <f t="shared" si="11"/>
        <v>10990.267354493157</v>
      </c>
      <c r="G44" s="134">
        <f t="shared" si="11"/>
        <v>11530.578226892678</v>
      </c>
      <c r="H44" s="134">
        <f t="shared" si="11"/>
        <v>12164.761984871326</v>
      </c>
      <c r="I44" s="134">
        <f t="shared" si="11"/>
        <v>12817.365678064765</v>
      </c>
      <c r="J44" s="134">
        <f t="shared" si="11"/>
        <v>13557.975284058955</v>
      </c>
      <c r="K44" s="134">
        <f t="shared" si="11"/>
        <v>14348.689957804112</v>
      </c>
      <c r="L44" s="134">
        <f t="shared" si="11"/>
        <v>15333.423845113242</v>
      </c>
      <c r="M44" s="134">
        <f t="shared" si="11"/>
        <v>16372.351794307211</v>
      </c>
      <c r="N44" s="134">
        <f t="shared" si="11"/>
        <v>17231.364980963597</v>
      </c>
      <c r="O44" s="134">
        <f t="shared" si="11"/>
        <v>18300.953749059376</v>
      </c>
      <c r="P44" s="134">
        <f t="shared" si="11"/>
        <v>19116.540621140026</v>
      </c>
      <c r="Q44" s="134">
        <f t="shared" si="11"/>
        <v>20441.934989922924</v>
      </c>
      <c r="R44" s="134">
        <f t="shared" si="11"/>
        <v>21449.442900269649</v>
      </c>
      <c r="S44" s="134">
        <f t="shared" si="11"/>
        <v>22424.989770555323</v>
      </c>
      <c r="T44" s="134">
        <f t="shared" si="11"/>
        <v>23319.689575454806</v>
      </c>
      <c r="U44" s="134">
        <f t="shared" si="11"/>
        <v>24217.384158947461</v>
      </c>
      <c r="W44" s="91">
        <f>SUM(B44:U44)</f>
        <v>301308.27181337873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9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211</v>
      </c>
      <c r="B48" s="56"/>
      <c r="C48" s="59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9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9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2">B52+1</f>
        <v>2002</v>
      </c>
      <c r="D52" s="8">
        <f t="shared" si="12"/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</row>
    <row r="53" spans="1:55" outlineLevel="1">
      <c r="A53" s="12"/>
      <c r="B53" s="56"/>
      <c r="C53" s="59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</row>
    <row r="54" spans="1:55" outlineLevel="1">
      <c r="A54" s="13" t="s">
        <v>270</v>
      </c>
      <c r="B54" s="67">
        <f>B31-B12</f>
        <v>22360.93782771995</v>
      </c>
      <c r="C54" s="67">
        <f>C31-C12</f>
        <v>22154.412577374991</v>
      </c>
      <c r="D54" s="67">
        <f>D31-D12</f>
        <v>22034.739063329464</v>
      </c>
      <c r="E54" s="56">
        <f t="shared" ref="E54:U54" si="13">E31</f>
        <v>36482.993013057428</v>
      </c>
      <c r="F54" s="56">
        <f t="shared" si="13"/>
        <v>38405.727461093273</v>
      </c>
      <c r="G54" s="56">
        <f t="shared" si="13"/>
        <v>38800.953963872445</v>
      </c>
      <c r="H54" s="56">
        <f t="shared" si="13"/>
        <v>39289.238588335626</v>
      </c>
      <c r="I54" s="56">
        <f t="shared" si="13"/>
        <v>39782.285157950966</v>
      </c>
      <c r="J54" s="56">
        <f t="shared" si="13"/>
        <v>40280.11708479064</v>
      </c>
      <c r="K54" s="56">
        <f t="shared" si="13"/>
        <v>40782.75695154487</v>
      </c>
      <c r="L54" s="56">
        <f t="shared" si="13"/>
        <v>41561.602117775859</v>
      </c>
      <c r="M54" s="56">
        <f t="shared" si="13"/>
        <v>42353.912775286226</v>
      </c>
      <c r="N54" s="56">
        <f t="shared" si="13"/>
        <v>42806.634887491702</v>
      </c>
      <c r="O54" s="56">
        <f t="shared" si="13"/>
        <v>43626.562401925083</v>
      </c>
      <c r="P54" s="56">
        <f t="shared" si="13"/>
        <v>44019.04641656384</v>
      </c>
      <c r="Q54" s="56">
        <f t="shared" si="13"/>
        <v>45211.619621089696</v>
      </c>
      <c r="R54" s="56">
        <f t="shared" si="13"/>
        <v>45824.640728674676</v>
      </c>
      <c r="S54" s="56">
        <f t="shared" si="13"/>
        <v>46444.504619457846</v>
      </c>
      <c r="T54" s="56">
        <f t="shared" si="13"/>
        <v>47071.26084499008</v>
      </c>
      <c r="U54" s="56">
        <f t="shared" si="13"/>
        <v>47704.958238748346</v>
      </c>
      <c r="W54" s="400">
        <f>SUM(B54:U54)</f>
        <v>786998.90434107312</v>
      </c>
    </row>
    <row r="55" spans="1:55">
      <c r="A55" s="13" t="s">
        <v>168</v>
      </c>
      <c r="B55" s="67">
        <f>B26</f>
        <v>174.46</v>
      </c>
      <c r="C55" s="67">
        <f t="shared" ref="C55:U55" si="14">C26</f>
        <v>348.92</v>
      </c>
      <c r="D55" s="67">
        <f t="shared" si="14"/>
        <v>436.15</v>
      </c>
      <c r="E55" s="67">
        <f t="shared" si="14"/>
        <v>436.15</v>
      </c>
      <c r="F55" s="67">
        <f t="shared" si="14"/>
        <v>436.15</v>
      </c>
      <c r="G55" s="67">
        <f t="shared" si="14"/>
        <v>523.38</v>
      </c>
      <c r="H55" s="67">
        <f t="shared" si="14"/>
        <v>523.38</v>
      </c>
      <c r="I55" s="67">
        <f t="shared" si="14"/>
        <v>523.38</v>
      </c>
      <c r="J55" s="67">
        <f t="shared" si="14"/>
        <v>523.38</v>
      </c>
      <c r="K55" s="67">
        <f t="shared" si="14"/>
        <v>523.38</v>
      </c>
      <c r="L55" s="67">
        <f t="shared" si="14"/>
        <v>523.38</v>
      </c>
      <c r="M55" s="67">
        <f t="shared" si="14"/>
        <v>523.38</v>
      </c>
      <c r="N55" s="67">
        <f t="shared" si="14"/>
        <v>872.3</v>
      </c>
      <c r="O55" s="67">
        <f t="shared" si="14"/>
        <v>872.3</v>
      </c>
      <c r="P55" s="67">
        <f t="shared" si="14"/>
        <v>1308.45</v>
      </c>
      <c r="Q55" s="67">
        <f t="shared" si="14"/>
        <v>743.93104499999993</v>
      </c>
      <c r="R55" s="67">
        <f t="shared" si="14"/>
        <v>758.80966589999991</v>
      </c>
      <c r="S55" s="67">
        <f t="shared" si="14"/>
        <v>773.98585921799997</v>
      </c>
      <c r="T55" s="67">
        <f t="shared" si="14"/>
        <v>789.46557640235994</v>
      </c>
      <c r="U55" s="67">
        <f t="shared" si="14"/>
        <v>805.25488793040722</v>
      </c>
      <c r="W55" s="400">
        <f>SUM(B55:U55)</f>
        <v>12419.987034450767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-92.2251014</v>
      </c>
      <c r="C56" s="67">
        <f>-B55</f>
        <v>-174.46</v>
      </c>
      <c r="D56" s="67">
        <f t="shared" ref="D56:U56" si="15">-C55</f>
        <v>-348.92</v>
      </c>
      <c r="E56" s="67">
        <f t="shared" si="15"/>
        <v>-436.15</v>
      </c>
      <c r="F56" s="67">
        <f t="shared" si="15"/>
        <v>-436.15</v>
      </c>
      <c r="G56" s="67">
        <f t="shared" si="15"/>
        <v>-436.15</v>
      </c>
      <c r="H56" s="67">
        <f t="shared" si="15"/>
        <v>-523.38</v>
      </c>
      <c r="I56" s="67">
        <f t="shared" si="15"/>
        <v>-523.38</v>
      </c>
      <c r="J56" s="67">
        <f t="shared" si="15"/>
        <v>-523.38</v>
      </c>
      <c r="K56" s="67">
        <f t="shared" si="15"/>
        <v>-523.38</v>
      </c>
      <c r="L56" s="67">
        <f t="shared" si="15"/>
        <v>-523.38</v>
      </c>
      <c r="M56" s="67">
        <f t="shared" si="15"/>
        <v>-523.38</v>
      </c>
      <c r="N56" s="67">
        <f t="shared" si="15"/>
        <v>-523.38</v>
      </c>
      <c r="O56" s="67">
        <f t="shared" si="15"/>
        <v>-872.3</v>
      </c>
      <c r="P56" s="67">
        <f t="shared" si="15"/>
        <v>-872.3</v>
      </c>
      <c r="Q56" s="67">
        <f t="shared" si="15"/>
        <v>-1308.45</v>
      </c>
      <c r="R56" s="67">
        <f t="shared" si="15"/>
        <v>-743.93104499999993</v>
      </c>
      <c r="S56" s="67">
        <f t="shared" si="15"/>
        <v>-758.80966589999991</v>
      </c>
      <c r="T56" s="67">
        <f t="shared" si="15"/>
        <v>-773.98585921799997</v>
      </c>
      <c r="U56" s="67">
        <f t="shared" si="15"/>
        <v>-789.46557640235994</v>
      </c>
      <c r="W56" s="400">
        <f>SUM(B56:U56)</f>
        <v>-11706.957247920362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-Debt!B77*Allocation!$E$12</f>
        <v>-16751.391210738668</v>
      </c>
      <c r="C57" s="398">
        <f>-Debt!C77*Allocation!$E$12</f>
        <v>-16737.685095599714</v>
      </c>
      <c r="D57" s="398">
        <f>-Debt!D77*Allocation!$E$12</f>
        <v>-16659.386573480904</v>
      </c>
      <c r="E57" s="398">
        <f>-Debt!E77*Allocation!$E$12</f>
        <v>-16421.779474249419</v>
      </c>
      <c r="F57" s="398">
        <f>-Debt!F77*Allocation!$E$12</f>
        <v>-17185.478305309542</v>
      </c>
      <c r="G57" s="398">
        <f>-Debt!G77*Allocation!$E$12</f>
        <v>-17284.565919097964</v>
      </c>
      <c r="H57" s="398">
        <f>-Debt!H77*Allocation!$E$12</f>
        <v>-17176.031804512022</v>
      </c>
      <c r="I57" s="398">
        <f>-Debt!I77*Allocation!$E$12</f>
        <v>-17336.195920509166</v>
      </c>
      <c r="J57" s="398">
        <f>-Debt!J77*Allocation!$E$12</f>
        <v>-17210.067790445381</v>
      </c>
      <c r="K57" s="398">
        <f>-Debt!K77*Allocation!$E$12</f>
        <v>-17408.481617578913</v>
      </c>
      <c r="L57" s="398">
        <f>-Debt!L77*Allocation!$E$12</f>
        <v>-17246.966587651044</v>
      </c>
      <c r="M57" s="398">
        <f>-Debt!M77*Allocation!$E$12</f>
        <v>-16338.904169557536</v>
      </c>
      <c r="N57" s="398">
        <f>-Debt!N77*Allocation!$E$12</f>
        <v>-15385.712719313937</v>
      </c>
      <c r="O57" s="398">
        <f>-Debt!O77*Allocation!$E$12</f>
        <v>-14455.085785145382</v>
      </c>
      <c r="P57" s="398">
        <f>-Debt!P77*Allocation!$E$12</f>
        <v>-13928.473415281369</v>
      </c>
      <c r="Q57" s="398">
        <f>-Debt!Q77*Allocation!$E$12</f>
        <v>-13367.568080308951</v>
      </c>
      <c r="R57" s="398">
        <f>-Debt!R77*Allocation!$E$12</f>
        <v>-12331.640071123518</v>
      </c>
      <c r="S57" s="398">
        <f>-Debt!S77*Allocation!$E$12</f>
        <v>-9691.8921863199503</v>
      </c>
      <c r="T57" s="398">
        <f>-Debt!T77*Allocation!$E$12</f>
        <v>-8854.3279455682514</v>
      </c>
      <c r="U57" s="398">
        <f>-Debt!U77*Allocation!$E$12</f>
        <v>-7187.317408407439</v>
      </c>
      <c r="W57" s="400">
        <f>SUM(B57:U57)</f>
        <v>-298958.95208019903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s="57" customFormat="1" outlineLevel="1">
      <c r="A59" s="12" t="s">
        <v>72</v>
      </c>
      <c r="B59" s="136">
        <f t="shared" ref="B59:U59" si="16">SUM(B54:B57)</f>
        <v>5691.7815155812823</v>
      </c>
      <c r="C59" s="136">
        <f t="shared" si="16"/>
        <v>5591.187481775276</v>
      </c>
      <c r="D59" s="136">
        <f t="shared" si="16"/>
        <v>5462.5824898485625</v>
      </c>
      <c r="E59" s="136">
        <f t="shared" si="16"/>
        <v>20061.21353880801</v>
      </c>
      <c r="F59" s="136">
        <f t="shared" si="16"/>
        <v>21220.249155783731</v>
      </c>
      <c r="G59" s="136">
        <f t="shared" si="16"/>
        <v>21603.618044774477</v>
      </c>
      <c r="H59" s="136">
        <f t="shared" si="16"/>
        <v>22113.206783823603</v>
      </c>
      <c r="I59" s="136">
        <f t="shared" si="16"/>
        <v>22446.0892374418</v>
      </c>
      <c r="J59" s="136">
        <f t="shared" si="16"/>
        <v>23070.049294345259</v>
      </c>
      <c r="K59" s="136">
        <f t="shared" si="16"/>
        <v>23374.275333965958</v>
      </c>
      <c r="L59" s="136">
        <f t="shared" si="16"/>
        <v>24314.635530124815</v>
      </c>
      <c r="M59" s="136">
        <f t="shared" si="16"/>
        <v>26015.00860572869</v>
      </c>
      <c r="N59" s="136">
        <f t="shared" si="16"/>
        <v>27769.842168177769</v>
      </c>
      <c r="O59" s="136">
        <f t="shared" si="16"/>
        <v>29171.476616779699</v>
      </c>
      <c r="P59" s="136">
        <f t="shared" si="16"/>
        <v>30526.723001282466</v>
      </c>
      <c r="Q59" s="136">
        <f t="shared" si="16"/>
        <v>31279.532585780747</v>
      </c>
      <c r="R59" s="136">
        <f t="shared" si="16"/>
        <v>33507.879278451161</v>
      </c>
      <c r="S59" s="136">
        <f t="shared" si="16"/>
        <v>36767.788626455898</v>
      </c>
      <c r="T59" s="136">
        <f t="shared" si="16"/>
        <v>38232.412616606191</v>
      </c>
      <c r="U59" s="136">
        <f t="shared" si="16"/>
        <v>40533.43014186895</v>
      </c>
      <c r="W59" s="400">
        <f>SUM(B59:U59)</f>
        <v>488752.98204740434</v>
      </c>
    </row>
    <row r="60" spans="1:55" outlineLevel="1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5" ht="15" outlineLevel="1">
      <c r="A61" s="13" t="s">
        <v>99</v>
      </c>
      <c r="B61" s="223">
        <f>-B103</f>
        <v>0</v>
      </c>
      <c r="C61" s="223">
        <f t="shared" ref="C61:U61" si="17">-C103</f>
        <v>0</v>
      </c>
      <c r="D61" s="223">
        <f t="shared" si="17"/>
        <v>0</v>
      </c>
      <c r="E61" s="223">
        <f t="shared" si="17"/>
        <v>0</v>
      </c>
      <c r="F61" s="223">
        <f t="shared" si="17"/>
        <v>0</v>
      </c>
      <c r="G61" s="223">
        <f t="shared" si="17"/>
        <v>-114.14040888911381</v>
      </c>
      <c r="H61" s="223">
        <f t="shared" si="17"/>
        <v>-853.60008189205678</v>
      </c>
      <c r="I61" s="223">
        <f t="shared" si="17"/>
        <v>-916.34146940567598</v>
      </c>
      <c r="J61" s="223">
        <f t="shared" si="17"/>
        <v>-990.41317182864907</v>
      </c>
      <c r="K61" s="223">
        <f t="shared" si="17"/>
        <v>-1066.7170124242698</v>
      </c>
      <c r="L61" s="223">
        <f t="shared" si="17"/>
        <v>-1164.7616393626215</v>
      </c>
      <c r="M61" s="223">
        <f t="shared" si="17"/>
        <v>-1265.4399423591076</v>
      </c>
      <c r="N61" s="223">
        <f t="shared" si="17"/>
        <v>-1351.1388376457985</v>
      </c>
      <c r="O61" s="223">
        <f t="shared" si="17"/>
        <v>-1454.8280230221681</v>
      </c>
      <c r="P61" s="223">
        <f t="shared" si="17"/>
        <v>-1536.2624684323548</v>
      </c>
      <c r="Q61" s="223">
        <f t="shared" si="17"/>
        <v>-2062.9198158276963</v>
      </c>
      <c r="R61" s="223">
        <f t="shared" si="17"/>
        <v>-2558.3608170590933</v>
      </c>
      <c r="S61" s="223">
        <f t="shared" si="17"/>
        <v>-2654.1592003932019</v>
      </c>
      <c r="T61" s="223">
        <f t="shared" si="17"/>
        <v>-2742.0184283702379</v>
      </c>
      <c r="U61" s="223">
        <f t="shared" si="17"/>
        <v>-2830.1717426248351</v>
      </c>
      <c r="W61" s="400">
        <f>SUM(B61:U61)</f>
        <v>-23561.273059536878</v>
      </c>
    </row>
    <row r="62" spans="1:55" outlineLevel="1">
      <c r="A62" s="13" t="s">
        <v>100</v>
      </c>
      <c r="B62" s="128">
        <f>-Allocation!$E$12*Tax!B24</f>
        <v>0</v>
      </c>
      <c r="C62" s="128">
        <f>-Allocation!$E$12*Tax!C24</f>
        <v>0</v>
      </c>
      <c r="D62" s="128">
        <f>-Allocation!$E$12*Tax!D24</f>
        <v>0</v>
      </c>
      <c r="E62" s="128">
        <f>-Allocation!$E$12*Tax!E24</f>
        <v>0</v>
      </c>
      <c r="F62" s="128">
        <f>-Allocation!$E$12*Tax!F24</f>
        <v>0</v>
      </c>
      <c r="G62" s="128">
        <f>-Allocation!$E$12*Tax!G24</f>
        <v>0</v>
      </c>
      <c r="H62" s="128">
        <f>-Allocation!$E$12*Tax!H24</f>
        <v>-3690.9928116509614</v>
      </c>
      <c r="I62" s="128">
        <f>-Allocation!$E$12*Tax!I24</f>
        <v>-5063.3360324042587</v>
      </c>
      <c r="J62" s="128">
        <f>-Allocation!$E$12*Tax!J24</f>
        <v>-5455.3735362998141</v>
      </c>
      <c r="K62" s="128">
        <f>-Allocation!$E$12*Tax!K24</f>
        <v>-5861.6003721935231</v>
      </c>
      <c r="L62" s="128">
        <f>-Allocation!$E$12*Tax!L24</f>
        <v>-6396.2168878525745</v>
      </c>
      <c r="M62" s="128">
        <f>-Allocation!$E$12*Tax!M24</f>
        <v>-6955.3590357725343</v>
      </c>
      <c r="N62" s="128">
        <f>-Allocation!$E$12*Tax!N24</f>
        <v>-7519.5584891248964</v>
      </c>
      <c r="O62" s="128">
        <f>-Allocation!$E$12*Tax!O24</f>
        <v>-8070.6126421668796</v>
      </c>
      <c r="P62" s="128">
        <f>-Allocation!$E$12*Tax!P24</f>
        <v>-8616.3389875197427</v>
      </c>
      <c r="Q62" s="128">
        <f>-Allocation!$E$12*Tax!Q24</f>
        <v>-11409.115552238298</v>
      </c>
      <c r="R62" s="128">
        <f>-Allocation!$E$12*Tax!R24</f>
        <v>-14189.321833697948</v>
      </c>
      <c r="S62" s="128">
        <f>-Allocation!$E$12*Tax!S24</f>
        <v>-14717.94506635944</v>
      </c>
      <c r="T62" s="128">
        <f>-Allocation!$E$12*Tax!T24</f>
        <v>-15203.318200556341</v>
      </c>
      <c r="U62" s="128">
        <f>-Allocation!$E$12*Tax!U24</f>
        <v>-15690.976582359452</v>
      </c>
      <c r="W62" s="400">
        <f>SUM(B62:U62)</f>
        <v>-128840.06603019667</v>
      </c>
    </row>
    <row r="63" spans="1:55" outlineLevel="1">
      <c r="A63" s="1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W63" s="401"/>
    </row>
    <row r="64" spans="1:55" s="64" customFormat="1" ht="15.75" outlineLevel="1">
      <c r="A64" s="46" t="s">
        <v>73</v>
      </c>
      <c r="B64" s="137">
        <f t="shared" ref="B64:U64" si="18">B59+B62+B61</f>
        <v>5691.7815155812823</v>
      </c>
      <c r="C64" s="137">
        <f t="shared" si="18"/>
        <v>5591.187481775276</v>
      </c>
      <c r="D64" s="137">
        <f t="shared" si="18"/>
        <v>5462.5824898485625</v>
      </c>
      <c r="E64" s="137">
        <f t="shared" si="18"/>
        <v>20061.21353880801</v>
      </c>
      <c r="F64" s="137">
        <f t="shared" si="18"/>
        <v>21220.249155783731</v>
      </c>
      <c r="G64" s="137">
        <f t="shared" si="18"/>
        <v>21489.477635885363</v>
      </c>
      <c r="H64" s="137">
        <f t="shared" si="18"/>
        <v>17568.613890280583</v>
      </c>
      <c r="I64" s="137">
        <f t="shared" si="18"/>
        <v>16466.411735631864</v>
      </c>
      <c r="J64" s="137">
        <f t="shared" si="18"/>
        <v>16624.262586216795</v>
      </c>
      <c r="K64" s="137">
        <f t="shared" si="18"/>
        <v>16445.957949348165</v>
      </c>
      <c r="L64" s="137">
        <f t="shared" si="18"/>
        <v>16753.657002909618</v>
      </c>
      <c r="M64" s="137">
        <f t="shared" si="18"/>
        <v>17794.209627597047</v>
      </c>
      <c r="N64" s="137">
        <f t="shared" si="18"/>
        <v>18899.144841407076</v>
      </c>
      <c r="O64" s="137">
        <f t="shared" si="18"/>
        <v>19646.035951590649</v>
      </c>
      <c r="P64" s="137">
        <f t="shared" si="18"/>
        <v>20374.121545330367</v>
      </c>
      <c r="Q64" s="137">
        <f t="shared" si="18"/>
        <v>17807.497217714754</v>
      </c>
      <c r="R64" s="137">
        <f t="shared" si="18"/>
        <v>16760.19662769412</v>
      </c>
      <c r="S64" s="137">
        <f t="shared" si="18"/>
        <v>19395.684359703257</v>
      </c>
      <c r="T64" s="137">
        <f t="shared" si="18"/>
        <v>20287.075987679611</v>
      </c>
      <c r="U64" s="137">
        <f t="shared" si="18"/>
        <v>22012.281816884664</v>
      </c>
      <c r="W64" s="400">
        <f>SUM(B64:U64)</f>
        <v>336351.64295767079</v>
      </c>
    </row>
    <row r="65" spans="1:23" outlineLevel="1">
      <c r="A65" s="68"/>
      <c r="B65" s="56"/>
      <c r="C65" s="59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23" outlineLevel="1">
      <c r="A66" s="68"/>
      <c r="B66" s="56"/>
      <c r="C66" s="59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23" outlineLevel="1">
      <c r="A67" s="6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3" ht="18.75" outlineLevel="1">
      <c r="A68" s="55" t="s">
        <v>191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3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3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3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3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3" outlineLevel="1">
      <c r="A73" s="224"/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3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3" outlineLevel="1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3" outlineLevel="1">
      <c r="A76" s="57" t="s">
        <v>192</v>
      </c>
      <c r="B76" s="439">
        <f>Depreciation!C38</f>
        <v>243595.31610358166</v>
      </c>
      <c r="C76" s="439">
        <f>Depreciation!D38</f>
        <v>236061.44034780079</v>
      </c>
      <c r="D76" s="439">
        <f>Depreciation!E38</f>
        <v>228527.56459201992</v>
      </c>
      <c r="E76" s="439">
        <f>Depreciation!F38</f>
        <v>220993.68883623905</v>
      </c>
      <c r="F76" s="439">
        <f>Depreciation!G38</f>
        <v>213459.81308045817</v>
      </c>
      <c r="G76" s="439">
        <f>Depreciation!H38</f>
        <v>205925.9373246773</v>
      </c>
      <c r="H76" s="439">
        <f>Depreciation!I38</f>
        <v>198392.06156889643</v>
      </c>
      <c r="I76" s="439">
        <f>Depreciation!J38</f>
        <v>190858.18581311556</v>
      </c>
      <c r="J76" s="439">
        <f>Depreciation!K38</f>
        <v>183324.31005733469</v>
      </c>
      <c r="K76" s="439">
        <f>Depreciation!L38</f>
        <v>175790.43430155382</v>
      </c>
      <c r="L76" s="439">
        <f>Depreciation!M38</f>
        <v>168256.55854577295</v>
      </c>
      <c r="M76" s="439">
        <f>Depreciation!N38</f>
        <v>160722.68278999208</v>
      </c>
      <c r="N76" s="439">
        <f>Depreciation!O38</f>
        <v>153188.8070342112</v>
      </c>
      <c r="O76" s="439">
        <f>Depreciation!P38</f>
        <v>145654.93127843033</v>
      </c>
      <c r="P76" s="439">
        <f>Depreciation!Q38</f>
        <v>138121.05552264946</v>
      </c>
      <c r="Q76" s="439">
        <f>Depreciation!R38</f>
        <v>130587.17976686859</v>
      </c>
      <c r="R76" s="439">
        <f>Depreciation!S38</f>
        <v>123053.30401108772</v>
      </c>
      <c r="S76" s="439">
        <f>Depreciation!T38</f>
        <v>115519.42825530685</v>
      </c>
      <c r="T76" s="439">
        <f>Depreciation!U38</f>
        <v>107985.55249952598</v>
      </c>
      <c r="U76" s="439">
        <f>Depreciation!V38</f>
        <v>100451.67674374511</v>
      </c>
      <c r="W76" s="420">
        <f t="shared" ref="W76:W84" si="19">SUM(B76:U76)</f>
        <v>3440469.9284732686</v>
      </c>
    </row>
    <row r="77" spans="1:23" outlineLevel="1">
      <c r="A77" s="7" t="s">
        <v>180</v>
      </c>
      <c r="B77" s="439">
        <f>Allocation!$C$12*'Summary Output'!$C$8</f>
        <v>98518.171803053978</v>
      </c>
      <c r="C77" s="439">
        <f>Allocation!$C$12*'Summary Output'!$C$8</f>
        <v>98518.171803053978</v>
      </c>
      <c r="D77" s="439">
        <f>Allocation!$C$12*'Summary Output'!$C$8</f>
        <v>98518.171803053978</v>
      </c>
      <c r="E77" s="439">
        <f>Allocation!$C$12*'Summary Output'!$C$8</f>
        <v>98518.171803053978</v>
      </c>
      <c r="F77" s="439">
        <f>Allocation!$C$12*'Summary Output'!$C$8</f>
        <v>98518.171803053978</v>
      </c>
      <c r="G77" s="439">
        <f>Allocation!$C$12*'Summary Output'!$C$8</f>
        <v>98518.171803053978</v>
      </c>
      <c r="H77" s="439">
        <f>Allocation!$C$12*'Summary Output'!$C$8</f>
        <v>98518.171803053978</v>
      </c>
      <c r="I77" s="439">
        <f>Allocation!$C$12*'Summary Output'!$C$8</f>
        <v>98518.171803053978</v>
      </c>
      <c r="J77" s="439">
        <f>Allocation!$C$12*'Summary Output'!$C$8</f>
        <v>98518.171803053978</v>
      </c>
      <c r="K77" s="439">
        <f>Allocation!$C$12*'Summary Output'!$C$8</f>
        <v>98518.171803053978</v>
      </c>
      <c r="L77" s="439">
        <f>Allocation!$C$12*'Summary Output'!$C$8</f>
        <v>98518.171803053978</v>
      </c>
      <c r="M77" s="439">
        <f>Allocation!$C$12*'Summary Output'!$C$8</f>
        <v>98518.171803053978</v>
      </c>
      <c r="N77" s="439">
        <f>Allocation!$C$12*'Summary Output'!$C$8</f>
        <v>98518.171803053978</v>
      </c>
      <c r="O77" s="439">
        <f>Allocation!$C$12*'Summary Output'!$C$8</f>
        <v>98518.171803053978</v>
      </c>
      <c r="P77" s="439">
        <f>Allocation!$C$12*'Summary Output'!$C$8</f>
        <v>98518.171803053978</v>
      </c>
      <c r="Q77" s="439">
        <f>Allocation!$C$12*'Summary Output'!$C$8</f>
        <v>98518.171803053978</v>
      </c>
      <c r="R77" s="439">
        <f>Allocation!$C$12*'Summary Output'!$C$8</f>
        <v>98518.171803053978</v>
      </c>
      <c r="S77" s="439">
        <f>Allocation!$C$12*'Summary Output'!$C$8</f>
        <v>98518.171803053978</v>
      </c>
      <c r="T77" s="439">
        <f>Allocation!$C$12*'Summary Output'!$C$8</f>
        <v>98518.171803053978</v>
      </c>
      <c r="U77" s="439">
        <f>Allocation!$C$12*'Summary Output'!$C$8</f>
        <v>98518.171803053978</v>
      </c>
      <c r="W77" s="420">
        <f t="shared" si="19"/>
        <v>1970363.4360610789</v>
      </c>
    </row>
    <row r="78" spans="1:23" outlineLevel="1">
      <c r="A78" s="443" t="s">
        <v>273</v>
      </c>
      <c r="B78" s="440">
        <f>B44-B64-B12*(Assumptions!$G$38+(1-Assumptions!$G$38)*Assumptions!$G$37)</f>
        <v>-3203.1839911648844</v>
      </c>
      <c r="C78" s="440">
        <f>C44-C64-C12*(Assumptions!$G$38+(1-Assumptions!$G$38)*Assumptions!$G$37)+B78</f>
        <v>-6303.2616595901527</v>
      </c>
      <c r="D78" s="440">
        <f>D44-D64-D12*(Assumptions!$G$38+(1-Assumptions!$G$38)*Assumptions!$G$37)+C78</f>
        <v>-9166.3202555509579</v>
      </c>
      <c r="E78" s="440">
        <f t="shared" ref="E78:U78" si="20">E44-E64+D78</f>
        <v>-19664.177224290332</v>
      </c>
      <c r="F78" s="440">
        <f t="shared" si="20"/>
        <v>-29894.159025580906</v>
      </c>
      <c r="G78" s="440">
        <f t="shared" si="20"/>
        <v>-39853.058434573592</v>
      </c>
      <c r="H78" s="440">
        <f t="shared" si="20"/>
        <v>-45256.910339982845</v>
      </c>
      <c r="I78" s="440">
        <f t="shared" si="20"/>
        <v>-48905.956397549948</v>
      </c>
      <c r="J78" s="440">
        <f t="shared" si="20"/>
        <v>-51972.243699707789</v>
      </c>
      <c r="K78" s="440">
        <f t="shared" si="20"/>
        <v>-54069.511691251842</v>
      </c>
      <c r="L78" s="440">
        <f t="shared" si="20"/>
        <v>-55489.74484904822</v>
      </c>
      <c r="M78" s="440">
        <f t="shared" si="20"/>
        <v>-56911.602682338053</v>
      </c>
      <c r="N78" s="440">
        <f t="shared" si="20"/>
        <v>-58579.382542781532</v>
      </c>
      <c r="O78" s="440">
        <f t="shared" si="20"/>
        <v>-59924.464745312805</v>
      </c>
      <c r="P78" s="440">
        <f t="shared" si="20"/>
        <v>-61182.045669503146</v>
      </c>
      <c r="Q78" s="440">
        <f t="shared" si="20"/>
        <v>-58547.607897294976</v>
      </c>
      <c r="R78" s="440">
        <f t="shared" si="20"/>
        <v>-53858.361624719444</v>
      </c>
      <c r="S78" s="440">
        <f t="shared" si="20"/>
        <v>-50829.056213867378</v>
      </c>
      <c r="T78" s="440">
        <f t="shared" si="20"/>
        <v>-47796.442626092183</v>
      </c>
      <c r="U78" s="440">
        <f t="shared" si="20"/>
        <v>-45591.340284029386</v>
      </c>
      <c r="W78" s="420">
        <f t="shared" si="19"/>
        <v>-856998.83185423038</v>
      </c>
    </row>
    <row r="79" spans="1:23" outlineLevel="1">
      <c r="A79" s="443" t="s">
        <v>187</v>
      </c>
      <c r="B79" s="441">
        <f>Debt!B73*Allocation!$E$12</f>
        <v>125948.25183015436</v>
      </c>
      <c r="C79" s="441">
        <f>Debt!C73*Allocation!$E$12</f>
        <v>123038.05073678908</v>
      </c>
      <c r="D79" s="441">
        <f>Debt!D73*Allocation!$E$12</f>
        <v>119909.0375311407</v>
      </c>
      <c r="E79" s="441">
        <f>Debt!E73*Allocation!$E$12</f>
        <v>116784.40056773799</v>
      </c>
      <c r="F79" s="441">
        <f>Debt!F73*Allocation!$E$12</f>
        <v>112483.4296887013</v>
      </c>
      <c r="G79" s="441">
        <f>Debt!G73*Allocation!$E$12</f>
        <v>107594.29185184764</v>
      </c>
      <c r="H79" s="441">
        <f>Debt!H73*Allocation!$E$12</f>
        <v>102264.02879663125</v>
      </c>
      <c r="I79" s="441">
        <f>Debt!I73*Allocation!$E$12</f>
        <v>96198.557044143614</v>
      </c>
      <c r="J79" s="441">
        <f>Debt!J73*Allocation!$E$12</f>
        <v>89544.918333838999</v>
      </c>
      <c r="K79" s="441">
        <f>Debt!K73*Allocation!$E$12</f>
        <v>81901.373627565627</v>
      </c>
      <c r="L79" s="441">
        <f>Debt!L73*Allocation!$E$12</f>
        <v>73586.513360807701</v>
      </c>
      <c r="M79" s="441">
        <f>Debt!M73*Allocation!$E$12</f>
        <v>65271.653094049769</v>
      </c>
      <c r="N79" s="441">
        <f>Debt!N73*Allocation!$E$12</f>
        <v>56956.792827291836</v>
      </c>
      <c r="O79" s="441">
        <f>Debt!O73*Allocation!$E$12</f>
        <v>48641.932560533904</v>
      </c>
      <c r="P79" s="441">
        <f>Debt!P73*Allocation!$E$12</f>
        <v>39911.329280438076</v>
      </c>
      <c r="Q79" s="441">
        <f>Debt!Q73*Allocation!$E$12</f>
        <v>30764.982987004347</v>
      </c>
      <c r="R79" s="441">
        <f>Debt!R73*Allocation!$E$12</f>
        <v>21618.636693570625</v>
      </c>
      <c r="S79" s="441">
        <f>Debt!S73*Allocation!$E$12</f>
        <v>14135.262453488485</v>
      </c>
      <c r="T79" s="441">
        <f>Debt!T73*Allocation!$E$12</f>
        <v>6651.888213406346</v>
      </c>
      <c r="U79" s="441">
        <f>Debt!U73*Allocation!$E$12</f>
        <v>-7.0050976795439438E-12</v>
      </c>
      <c r="W79" s="420">
        <f t="shared" si="19"/>
        <v>1433205.331479142</v>
      </c>
    </row>
    <row r="80" spans="1:23" outlineLevel="1">
      <c r="A80" s="57" t="s">
        <v>193</v>
      </c>
      <c r="B80" s="442">
        <f>SUM(B77:B79)</f>
        <v>221263.23964204345</v>
      </c>
      <c r="C80" s="442">
        <f t="shared" ref="C80:U80" si="21">SUM(C77:C79)</f>
        <v>215252.96088025291</v>
      </c>
      <c r="D80" s="442">
        <f t="shared" si="21"/>
        <v>209260.8890786437</v>
      </c>
      <c r="E80" s="442">
        <f t="shared" si="21"/>
        <v>195638.39514650163</v>
      </c>
      <c r="F80" s="442">
        <f t="shared" si="21"/>
        <v>181107.44246617437</v>
      </c>
      <c r="G80" s="442">
        <f t="shared" si="21"/>
        <v>166259.40522032802</v>
      </c>
      <c r="H80" s="442">
        <f t="shared" si="21"/>
        <v>155525.29025970236</v>
      </c>
      <c r="I80" s="442">
        <f t="shared" si="21"/>
        <v>145810.77244964766</v>
      </c>
      <c r="J80" s="442">
        <f t="shared" si="21"/>
        <v>136090.84643718519</v>
      </c>
      <c r="K80" s="442">
        <f t="shared" si="21"/>
        <v>126350.03373936776</v>
      </c>
      <c r="L80" s="442">
        <f t="shared" si="21"/>
        <v>116614.94031481346</v>
      </c>
      <c r="M80" s="442">
        <f t="shared" si="21"/>
        <v>106878.2222147657</v>
      </c>
      <c r="N80" s="442">
        <f t="shared" si="21"/>
        <v>96895.582087564282</v>
      </c>
      <c r="O80" s="442">
        <f t="shared" si="21"/>
        <v>87235.639618275076</v>
      </c>
      <c r="P80" s="442">
        <f t="shared" si="21"/>
        <v>77247.455413988908</v>
      </c>
      <c r="Q80" s="442">
        <f t="shared" si="21"/>
        <v>70735.546892763348</v>
      </c>
      <c r="R80" s="442">
        <f t="shared" si="21"/>
        <v>66278.446871905151</v>
      </c>
      <c r="S80" s="442">
        <f t="shared" si="21"/>
        <v>61824.378042675089</v>
      </c>
      <c r="T80" s="442">
        <f t="shared" si="21"/>
        <v>57373.617390368141</v>
      </c>
      <c r="U80" s="442">
        <f t="shared" si="21"/>
        <v>52926.831519024585</v>
      </c>
      <c r="W80" s="420">
        <f t="shared" si="19"/>
        <v>2546569.9356859904</v>
      </c>
    </row>
    <row r="81" spans="1:44" outlineLevel="1">
      <c r="A81" s="224"/>
      <c r="B81" s="442"/>
      <c r="C81" s="442"/>
      <c r="D81" s="442"/>
      <c r="E81" s="442"/>
      <c r="F81" s="442"/>
      <c r="G81" s="442"/>
      <c r="H81" s="442"/>
      <c r="I81" s="442"/>
      <c r="J81" s="442"/>
      <c r="K81" s="442"/>
      <c r="L81" s="442"/>
      <c r="M81" s="442"/>
      <c r="N81" s="442"/>
      <c r="O81" s="442"/>
      <c r="P81" s="442"/>
      <c r="Q81" s="442"/>
      <c r="R81" s="442"/>
      <c r="S81" s="442"/>
      <c r="T81" s="442"/>
      <c r="U81" s="442"/>
      <c r="W81" s="420"/>
    </row>
    <row r="82" spans="1:44" outlineLevel="1">
      <c r="A82" s="57" t="s">
        <v>206</v>
      </c>
      <c r="B82" s="442">
        <f>MAX(B80,B76)</f>
        <v>243595.31610358166</v>
      </c>
      <c r="C82" s="442">
        <f t="shared" ref="C82:U82" si="22">MAX(C80,C76)</f>
        <v>236061.44034780079</v>
      </c>
      <c r="D82" s="442">
        <f t="shared" si="22"/>
        <v>228527.56459201992</v>
      </c>
      <c r="E82" s="442">
        <f t="shared" si="22"/>
        <v>220993.68883623905</v>
      </c>
      <c r="F82" s="442">
        <f t="shared" si="22"/>
        <v>213459.81308045817</v>
      </c>
      <c r="G82" s="442">
        <f t="shared" si="22"/>
        <v>205925.9373246773</v>
      </c>
      <c r="H82" s="442">
        <f t="shared" si="22"/>
        <v>198392.06156889643</v>
      </c>
      <c r="I82" s="442">
        <f t="shared" si="22"/>
        <v>190858.18581311556</v>
      </c>
      <c r="J82" s="442">
        <f t="shared" si="22"/>
        <v>183324.31005733469</v>
      </c>
      <c r="K82" s="442">
        <f t="shared" si="22"/>
        <v>175790.43430155382</v>
      </c>
      <c r="L82" s="442">
        <f t="shared" si="22"/>
        <v>168256.55854577295</v>
      </c>
      <c r="M82" s="442">
        <f t="shared" si="22"/>
        <v>160722.68278999208</v>
      </c>
      <c r="N82" s="442">
        <f t="shared" si="22"/>
        <v>153188.8070342112</v>
      </c>
      <c r="O82" s="442">
        <f t="shared" si="22"/>
        <v>145654.93127843033</v>
      </c>
      <c r="P82" s="442">
        <f t="shared" si="22"/>
        <v>138121.05552264946</v>
      </c>
      <c r="Q82" s="442">
        <f t="shared" si="22"/>
        <v>130587.17976686859</v>
      </c>
      <c r="R82" s="442">
        <f t="shared" si="22"/>
        <v>123053.30401108772</v>
      </c>
      <c r="S82" s="442">
        <f t="shared" si="22"/>
        <v>115519.42825530685</v>
      </c>
      <c r="T82" s="442">
        <f t="shared" si="22"/>
        <v>107985.55249952598</v>
      </c>
      <c r="U82" s="442">
        <f t="shared" si="22"/>
        <v>100451.67674374511</v>
      </c>
      <c r="W82" s="420">
        <f t="shared" si="19"/>
        <v>3440469.9284732686</v>
      </c>
    </row>
    <row r="83" spans="1:44" outlineLevel="1">
      <c r="A83" s="443" t="s">
        <v>183</v>
      </c>
      <c r="B83" s="445">
        <f>Assumptions!$G$41</f>
        <v>2.5000000000000001E-3</v>
      </c>
      <c r="C83" s="445">
        <f>Assumptions!$G$42</f>
        <v>2.5000000000000001E-3</v>
      </c>
      <c r="D83" s="445">
        <f>Assumptions!$G$42</f>
        <v>2.5000000000000001E-3</v>
      </c>
      <c r="E83" s="445">
        <f>Assumptions!$G$42</f>
        <v>2.5000000000000001E-3</v>
      </c>
      <c r="F83" s="445">
        <f>Assumptions!$G$42</f>
        <v>2.5000000000000001E-3</v>
      </c>
      <c r="G83" s="445">
        <f>Assumptions!$G$42</f>
        <v>2.5000000000000001E-3</v>
      </c>
      <c r="H83" s="445">
        <f>Assumptions!$G$42</f>
        <v>2.5000000000000001E-3</v>
      </c>
      <c r="I83" s="445">
        <f>Assumptions!$G$42</f>
        <v>2.5000000000000001E-3</v>
      </c>
      <c r="J83" s="445">
        <f>Assumptions!$G$42</f>
        <v>2.5000000000000001E-3</v>
      </c>
      <c r="K83" s="445">
        <f>Assumptions!$G$42</f>
        <v>2.5000000000000001E-3</v>
      </c>
      <c r="L83" s="445">
        <f>Assumptions!$G$42</f>
        <v>2.5000000000000001E-3</v>
      </c>
      <c r="M83" s="445">
        <f>Assumptions!$G$42</f>
        <v>2.5000000000000001E-3</v>
      </c>
      <c r="N83" s="445">
        <f>Assumptions!$G$42</f>
        <v>2.5000000000000001E-3</v>
      </c>
      <c r="O83" s="445">
        <f>Assumptions!$G$42</f>
        <v>2.5000000000000001E-3</v>
      </c>
      <c r="P83" s="445">
        <f>Assumptions!$G$42</f>
        <v>2.5000000000000001E-3</v>
      </c>
      <c r="Q83" s="445">
        <f>Assumptions!$G$42</f>
        <v>2.5000000000000001E-3</v>
      </c>
      <c r="R83" s="445">
        <f>Assumptions!$G$42</f>
        <v>2.5000000000000001E-3</v>
      </c>
      <c r="S83" s="445">
        <f>Assumptions!$G$42</f>
        <v>2.5000000000000001E-3</v>
      </c>
      <c r="T83" s="445">
        <f>Assumptions!$G$42</f>
        <v>2.5000000000000001E-3</v>
      </c>
      <c r="U83" s="445">
        <f>Assumptions!$G$42</f>
        <v>2.5000000000000001E-3</v>
      </c>
      <c r="W83" s="420"/>
    </row>
    <row r="84" spans="1:44" outlineLevel="1">
      <c r="A84" s="224" t="s">
        <v>184</v>
      </c>
      <c r="B84" s="461">
        <v>608.98829025895418</v>
      </c>
      <c r="C84" s="461">
        <v>590.15360086950193</v>
      </c>
      <c r="D84" s="461">
        <v>571.31891148004979</v>
      </c>
      <c r="E84" s="461">
        <v>552.48422209059765</v>
      </c>
      <c r="F84" s="461">
        <v>533.6495327011454</v>
      </c>
      <c r="G84" s="461">
        <v>514.81484331169327</v>
      </c>
      <c r="H84" s="461">
        <v>495.98015392224107</v>
      </c>
      <c r="I84" s="461">
        <v>477.14546453278894</v>
      </c>
      <c r="J84" s="461">
        <v>458.31077514333674</v>
      </c>
      <c r="K84" s="461">
        <v>439.47608575388455</v>
      </c>
      <c r="L84" s="461">
        <v>420.64139636443235</v>
      </c>
      <c r="M84" s="461">
        <v>401.80670697498022</v>
      </c>
      <c r="N84" s="461">
        <v>382.97201758552802</v>
      </c>
      <c r="O84" s="461">
        <v>364.13732819607583</v>
      </c>
      <c r="P84" s="461">
        <v>345.30263880662363</v>
      </c>
      <c r="Q84" s="461">
        <v>326.4679494171715</v>
      </c>
      <c r="R84" s="461">
        <v>307.6332600277193</v>
      </c>
      <c r="S84" s="461">
        <v>288.79857063826711</v>
      </c>
      <c r="T84" s="461">
        <v>269.96388124881497</v>
      </c>
      <c r="U84" s="461">
        <v>251.12919185936278</v>
      </c>
      <c r="W84" s="420">
        <f t="shared" si="19"/>
        <v>8601.1748211831709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outlineLevel="1">
      <c r="A85" s="443"/>
      <c r="B85" s="444"/>
      <c r="C85" s="444"/>
      <c r="D85" s="444"/>
      <c r="E85" s="444"/>
      <c r="F85" s="444"/>
      <c r="G85" s="444"/>
      <c r="H85" s="444"/>
      <c r="I85" s="444"/>
      <c r="J85" s="444"/>
      <c r="K85" s="444"/>
      <c r="L85" s="444"/>
      <c r="M85" s="444"/>
      <c r="N85" s="444"/>
      <c r="O85" s="444"/>
      <c r="P85" s="444"/>
      <c r="Q85" s="444"/>
      <c r="R85" s="444"/>
      <c r="S85" s="444"/>
      <c r="T85" s="444"/>
      <c r="U85" s="444"/>
    </row>
    <row r="86" spans="1:44" outlineLevel="1">
      <c r="A86" s="224"/>
      <c r="B86" s="247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44" outlineLevel="1">
      <c r="A87" s="225" t="s">
        <v>83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spans="1:44" outlineLevel="1">
      <c r="A88" s="225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spans="1:44" outlineLevel="1">
      <c r="A89" s="21" t="s">
        <v>271</v>
      </c>
      <c r="B89" s="20">
        <f>B39-B12</f>
        <v>788.94105351089092</v>
      </c>
      <c r="C89" s="20">
        <f>C39-C12</f>
        <v>793.05281935967832</v>
      </c>
      <c r="D89" s="20">
        <f>D39-D12</f>
        <v>970.48993971606251</v>
      </c>
      <c r="E89" s="20">
        <f t="shared" ref="E89:U89" si="23">E39</f>
        <v>15651.974746429851</v>
      </c>
      <c r="F89" s="20">
        <f t="shared" si="23"/>
        <v>17987.344279039535</v>
      </c>
      <c r="G89" s="20">
        <f t="shared" si="23"/>
        <v>18871.650125847264</v>
      </c>
      <c r="H89" s="20">
        <f t="shared" si="23"/>
        <v>19909.594083259126</v>
      </c>
      <c r="I89" s="20">
        <f t="shared" si="23"/>
        <v>20977.68523414855</v>
      </c>
      <c r="J89" s="20">
        <f t="shared" si="23"/>
        <v>22189.812248868991</v>
      </c>
      <c r="K89" s="20">
        <f t="shared" si="23"/>
        <v>23483.944284458448</v>
      </c>
      <c r="L89" s="20">
        <f t="shared" si="23"/>
        <v>25095.620041101869</v>
      </c>
      <c r="M89" s="20">
        <f t="shared" si="23"/>
        <v>26795.993116705744</v>
      </c>
      <c r="N89" s="20">
        <f t="shared" si="23"/>
        <v>28201.906679154818</v>
      </c>
      <c r="O89" s="20">
        <f t="shared" si="23"/>
        <v>29952.461127756753</v>
      </c>
      <c r="P89" s="20">
        <f t="shared" si="23"/>
        <v>31287.30052559742</v>
      </c>
      <c r="Q89" s="20">
        <f t="shared" si="23"/>
        <v>33456.522078433591</v>
      </c>
      <c r="R89" s="20">
        <f t="shared" si="23"/>
        <v>35105.471195204009</v>
      </c>
      <c r="S89" s="20">
        <f t="shared" si="23"/>
        <v>36702.110917439153</v>
      </c>
      <c r="T89" s="20">
        <f t="shared" si="23"/>
        <v>38166.431383723087</v>
      </c>
      <c r="U89" s="20">
        <f t="shared" si="23"/>
        <v>39635.653287966379</v>
      </c>
      <c r="W89" s="420">
        <f>SUM(B89:U89)</f>
        <v>466023.95916772122</v>
      </c>
    </row>
    <row r="90" spans="1:44" outlineLevel="1">
      <c r="A90" s="21" t="s">
        <v>132</v>
      </c>
      <c r="B90" s="20">
        <f>B33</f>
        <v>7533.8757557808767</v>
      </c>
      <c r="C90" s="20">
        <f t="shared" ref="C90:U90" si="24">C33</f>
        <v>7533.8757557808767</v>
      </c>
      <c r="D90" s="20">
        <f t="shared" si="24"/>
        <v>7533.8757557808767</v>
      </c>
      <c r="E90" s="20">
        <f t="shared" si="24"/>
        <v>7533.8757557808767</v>
      </c>
      <c r="F90" s="20">
        <f t="shared" si="24"/>
        <v>7533.8757557808767</v>
      </c>
      <c r="G90" s="20">
        <f t="shared" si="24"/>
        <v>7533.8757557808767</v>
      </c>
      <c r="H90" s="20">
        <f t="shared" si="24"/>
        <v>7533.8757557808767</v>
      </c>
      <c r="I90" s="20">
        <f t="shared" si="24"/>
        <v>7533.8757557808767</v>
      </c>
      <c r="J90" s="20">
        <f t="shared" si="24"/>
        <v>7533.8757557808767</v>
      </c>
      <c r="K90" s="20">
        <f t="shared" si="24"/>
        <v>7533.8757557808767</v>
      </c>
      <c r="L90" s="20">
        <f t="shared" si="24"/>
        <v>7533.8757557808767</v>
      </c>
      <c r="M90" s="20">
        <f t="shared" si="24"/>
        <v>7533.8757557808767</v>
      </c>
      <c r="N90" s="20">
        <f t="shared" si="24"/>
        <v>7533.8757557808767</v>
      </c>
      <c r="O90" s="20">
        <f t="shared" si="24"/>
        <v>7533.8757557808767</v>
      </c>
      <c r="P90" s="20">
        <f t="shared" si="24"/>
        <v>7533.8757557808767</v>
      </c>
      <c r="Q90" s="20">
        <f t="shared" si="24"/>
        <v>7533.8757557808767</v>
      </c>
      <c r="R90" s="20">
        <f t="shared" si="24"/>
        <v>7533.8757557808767</v>
      </c>
      <c r="S90" s="20">
        <f t="shared" si="24"/>
        <v>7533.8757557808767</v>
      </c>
      <c r="T90" s="20">
        <f t="shared" si="24"/>
        <v>7533.8757557808767</v>
      </c>
      <c r="U90" s="20">
        <f t="shared" si="24"/>
        <v>7533.8757557808767</v>
      </c>
      <c r="W90" s="420">
        <f>SUM(B90:U90)</f>
        <v>150677.51511561748</v>
      </c>
    </row>
    <row r="91" spans="1:44" ht="15" outlineLevel="1">
      <c r="A91" s="21" t="s">
        <v>200</v>
      </c>
      <c r="B91" s="228">
        <f>-Depreciation!C87</f>
        <v>-11200.679497886205</v>
      </c>
      <c r="C91" s="228">
        <f>-Depreciation!D87</f>
        <v>-21281.291045983788</v>
      </c>
      <c r="D91" s="228">
        <f>-Depreciation!E87</f>
        <v>-19153.16194138541</v>
      </c>
      <c r="E91" s="228">
        <f>-Depreciation!F87</f>
        <v>-17249.046426744753</v>
      </c>
      <c r="F91" s="228">
        <f>-Depreciation!G87</f>
        <v>-15524.14178407028</v>
      </c>
      <c r="G91" s="228">
        <f>-Depreciation!H87</f>
        <v>-13956.046654366211</v>
      </c>
      <c r="H91" s="228">
        <f>-Depreciation!I87</f>
        <v>-13216.801807505721</v>
      </c>
      <c r="I91" s="228">
        <f>-Depreciation!J87</f>
        <v>-13239.203166501495</v>
      </c>
      <c r="J91" s="228">
        <f>-Depreciation!K87</f>
        <v>-13216.801807505721</v>
      </c>
      <c r="K91" s="228">
        <f>-Depreciation!L87</f>
        <v>-13239.203166501495</v>
      </c>
      <c r="L91" s="228">
        <f>-Depreciation!M87</f>
        <v>-13216.801807505721</v>
      </c>
      <c r="M91" s="228">
        <f>-Depreciation!N87</f>
        <v>-13239.203166501495</v>
      </c>
      <c r="N91" s="228">
        <f>-Depreciation!O87</f>
        <v>-13216.801807505721</v>
      </c>
      <c r="O91" s="228">
        <f>-Depreciation!P87</f>
        <v>-13239.203166501495</v>
      </c>
      <c r="P91" s="228">
        <f>-Depreciation!Q87</f>
        <v>-13216.801807505721</v>
      </c>
      <c r="Q91" s="228">
        <f>-Depreciation!R87</f>
        <v>-6608.4009037528604</v>
      </c>
      <c r="R91" s="228">
        <f>-Depreciation!S87</f>
        <v>0</v>
      </c>
      <c r="S91" s="228">
        <f>-Depreciation!T87</f>
        <v>0</v>
      </c>
      <c r="T91" s="228">
        <f>-Depreciation!U87</f>
        <v>0</v>
      </c>
      <c r="U91" s="228">
        <f>-Depreciation!V87</f>
        <v>0</v>
      </c>
      <c r="W91" s="421">
        <f>SUM(B91:U91)</f>
        <v>-224013.58995772406</v>
      </c>
    </row>
    <row r="92" spans="1:44" outlineLevel="1">
      <c r="A92" s="227" t="s">
        <v>131</v>
      </c>
      <c r="B92" s="22">
        <f t="shared" ref="B92:U92" si="25">SUM(B89:B91)</f>
        <v>-2877.8626885944377</v>
      </c>
      <c r="C92" s="22">
        <f t="shared" si="25"/>
        <v>-12954.362470843233</v>
      </c>
      <c r="D92" s="22">
        <f t="shared" si="25"/>
        <v>-10648.79624588847</v>
      </c>
      <c r="E92" s="22">
        <f t="shared" si="25"/>
        <v>5936.8040754659742</v>
      </c>
      <c r="F92" s="22">
        <f t="shared" si="25"/>
        <v>9997.0782507501335</v>
      </c>
      <c r="G92" s="22">
        <f t="shared" si="25"/>
        <v>12449.479227261931</v>
      </c>
      <c r="H92" s="22">
        <f t="shared" si="25"/>
        <v>14226.66803153428</v>
      </c>
      <c r="I92" s="22">
        <f t="shared" si="25"/>
        <v>15272.357823427934</v>
      </c>
      <c r="J92" s="22">
        <f t="shared" si="25"/>
        <v>16506.886197144151</v>
      </c>
      <c r="K92" s="22">
        <f t="shared" si="25"/>
        <v>17778.616873737832</v>
      </c>
      <c r="L92" s="22">
        <f t="shared" si="25"/>
        <v>19412.693989377025</v>
      </c>
      <c r="M92" s="22">
        <f t="shared" si="25"/>
        <v>21090.665705985128</v>
      </c>
      <c r="N92" s="22">
        <f t="shared" si="25"/>
        <v>22518.980627429977</v>
      </c>
      <c r="O92" s="22">
        <f t="shared" si="25"/>
        <v>24247.133717036137</v>
      </c>
      <c r="P92" s="22">
        <f t="shared" si="25"/>
        <v>25604.37447387258</v>
      </c>
      <c r="Q92" s="22">
        <f t="shared" si="25"/>
        <v>34381.99693046161</v>
      </c>
      <c r="R92" s="22">
        <f t="shared" si="25"/>
        <v>42639.346950984887</v>
      </c>
      <c r="S92" s="22">
        <f t="shared" si="25"/>
        <v>44235.986673220032</v>
      </c>
      <c r="T92" s="22">
        <f t="shared" si="25"/>
        <v>45700.307139503966</v>
      </c>
      <c r="U92" s="22">
        <f t="shared" si="25"/>
        <v>47169.529043747258</v>
      </c>
      <c r="W92" s="420">
        <f>SUM(B92:U92)</f>
        <v>392687.88432561466</v>
      </c>
    </row>
    <row r="93" spans="1:44" outlineLevel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 outlineLevel="1">
      <c r="A94" s="21" t="s">
        <v>39</v>
      </c>
      <c r="B94" s="418">
        <f>Assumptions!$G$38</f>
        <v>0.06</v>
      </c>
      <c r="C94" s="418">
        <f>Assumptions!$G$38</f>
        <v>0.06</v>
      </c>
      <c r="D94" s="418">
        <f>Assumptions!$G$38</f>
        <v>0.06</v>
      </c>
      <c r="E94" s="418">
        <f>Assumptions!$G$38</f>
        <v>0.06</v>
      </c>
      <c r="F94" s="418">
        <f>Assumptions!$G$38</f>
        <v>0.06</v>
      </c>
      <c r="G94" s="418">
        <f>Assumptions!$G$38</f>
        <v>0.06</v>
      </c>
      <c r="H94" s="418">
        <f>Assumptions!$G$38</f>
        <v>0.06</v>
      </c>
      <c r="I94" s="418">
        <f>Assumptions!$G$38</f>
        <v>0.06</v>
      </c>
      <c r="J94" s="418">
        <f>Assumptions!$G$38</f>
        <v>0.06</v>
      </c>
      <c r="K94" s="418">
        <f>Assumptions!$G$38</f>
        <v>0.06</v>
      </c>
      <c r="L94" s="418">
        <f>Assumptions!$G$38</f>
        <v>0.06</v>
      </c>
      <c r="M94" s="418">
        <f>Assumptions!$G$38</f>
        <v>0.06</v>
      </c>
      <c r="N94" s="418">
        <f>Assumptions!$G$38</f>
        <v>0.06</v>
      </c>
      <c r="O94" s="418">
        <f>Assumptions!$G$38</f>
        <v>0.06</v>
      </c>
      <c r="P94" s="418">
        <f>Assumptions!$G$38</f>
        <v>0.06</v>
      </c>
      <c r="Q94" s="418">
        <f>Assumptions!$G$38</f>
        <v>0.06</v>
      </c>
      <c r="R94" s="418">
        <f>Assumptions!$G$38</f>
        <v>0.06</v>
      </c>
      <c r="S94" s="418">
        <f>Assumptions!$G$38</f>
        <v>0.06</v>
      </c>
      <c r="T94" s="418">
        <f>Assumptions!$G$38</f>
        <v>0.06</v>
      </c>
      <c r="U94" s="418">
        <f>Assumptions!$G$38</f>
        <v>0.06</v>
      </c>
    </row>
    <row r="95" spans="1:44" outlineLevel="1">
      <c r="A95" s="21" t="s">
        <v>133</v>
      </c>
      <c r="B95" s="20">
        <f>B92*B94</f>
        <v>-172.67176131566626</v>
      </c>
      <c r="C95" s="20">
        <f t="shared" ref="C95:U95" si="26">C92*C94</f>
        <v>-777.26174825059388</v>
      </c>
      <c r="D95" s="20">
        <f t="shared" si="26"/>
        <v>-638.9277747533082</v>
      </c>
      <c r="E95" s="20">
        <f t="shared" si="26"/>
        <v>356.20824452795841</v>
      </c>
      <c r="F95" s="20">
        <f t="shared" si="26"/>
        <v>599.82469504500796</v>
      </c>
      <c r="G95" s="20">
        <f t="shared" si="26"/>
        <v>746.96875363571576</v>
      </c>
      <c r="H95" s="20">
        <f t="shared" si="26"/>
        <v>853.60008189205678</v>
      </c>
      <c r="I95" s="20">
        <f t="shared" si="26"/>
        <v>916.34146940567598</v>
      </c>
      <c r="J95" s="20">
        <f t="shared" si="26"/>
        <v>990.41317182864907</v>
      </c>
      <c r="K95" s="20">
        <f t="shared" si="26"/>
        <v>1066.7170124242698</v>
      </c>
      <c r="L95" s="20">
        <f t="shared" si="26"/>
        <v>1164.7616393626215</v>
      </c>
      <c r="M95" s="20">
        <f t="shared" si="26"/>
        <v>1265.4399423591076</v>
      </c>
      <c r="N95" s="20">
        <f t="shared" si="26"/>
        <v>1351.1388376457985</v>
      </c>
      <c r="O95" s="20">
        <f t="shared" si="26"/>
        <v>1454.8280230221681</v>
      </c>
      <c r="P95" s="20">
        <f t="shared" si="26"/>
        <v>1536.2624684323548</v>
      </c>
      <c r="Q95" s="20">
        <f t="shared" si="26"/>
        <v>2062.9198158276963</v>
      </c>
      <c r="R95" s="20">
        <f t="shared" si="26"/>
        <v>2558.3608170590933</v>
      </c>
      <c r="S95" s="20">
        <f t="shared" si="26"/>
        <v>2654.1592003932019</v>
      </c>
      <c r="T95" s="20">
        <f t="shared" si="26"/>
        <v>2742.0184283702379</v>
      </c>
      <c r="U95" s="20">
        <f t="shared" si="26"/>
        <v>2830.1717426248351</v>
      </c>
    </row>
    <row r="96" spans="1:44" outlineLevel="1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 outlineLevel="1">
      <c r="A97" s="21" t="s">
        <v>134</v>
      </c>
      <c r="B97" s="20">
        <v>0</v>
      </c>
      <c r="C97" s="20">
        <f t="shared" ref="C97:U97" si="27">B101</f>
        <v>172.67176131566626</v>
      </c>
      <c r="D97" s="20">
        <f t="shared" si="27"/>
        <v>949.93350956626011</v>
      </c>
      <c r="E97" s="20">
        <f t="shared" si="27"/>
        <v>1588.8612843195683</v>
      </c>
      <c r="F97" s="20">
        <f t="shared" si="27"/>
        <v>1232.6530397916099</v>
      </c>
      <c r="G97" s="20">
        <f t="shared" si="27"/>
        <v>632.82834474660194</v>
      </c>
      <c r="H97" s="20">
        <f t="shared" si="27"/>
        <v>0</v>
      </c>
      <c r="I97" s="20">
        <f t="shared" si="27"/>
        <v>0</v>
      </c>
      <c r="J97" s="20">
        <f t="shared" si="27"/>
        <v>0</v>
      </c>
      <c r="K97" s="20">
        <f t="shared" si="27"/>
        <v>0</v>
      </c>
      <c r="L97" s="20">
        <f t="shared" si="27"/>
        <v>0</v>
      </c>
      <c r="M97" s="20">
        <f t="shared" si="27"/>
        <v>0</v>
      </c>
      <c r="N97" s="20">
        <f>M101</f>
        <v>0</v>
      </c>
      <c r="O97" s="20">
        <f t="shared" si="27"/>
        <v>0</v>
      </c>
      <c r="P97" s="20">
        <f t="shared" si="27"/>
        <v>0</v>
      </c>
      <c r="Q97" s="20">
        <f t="shared" si="27"/>
        <v>0</v>
      </c>
      <c r="R97" s="20">
        <v>0</v>
      </c>
      <c r="S97" s="20">
        <f t="shared" si="27"/>
        <v>0</v>
      </c>
      <c r="T97" s="20">
        <f t="shared" si="27"/>
        <v>0</v>
      </c>
      <c r="U97" s="20">
        <f t="shared" si="27"/>
        <v>0</v>
      </c>
    </row>
    <row r="98" spans="1:23" outlineLevel="1">
      <c r="A98" s="21" t="s">
        <v>135</v>
      </c>
      <c r="B98" s="239">
        <f t="shared" ref="B98:U98" si="28">IF(B68&gt;2020,0,IF(B95&lt;0,-B95,0))</f>
        <v>172.67176131566626</v>
      </c>
      <c r="C98" s="239">
        <f t="shared" si="28"/>
        <v>777.26174825059388</v>
      </c>
      <c r="D98" s="239">
        <f t="shared" si="28"/>
        <v>638.9277747533082</v>
      </c>
      <c r="E98" s="239">
        <f t="shared" si="28"/>
        <v>0</v>
      </c>
      <c r="F98" s="239">
        <f t="shared" si="28"/>
        <v>0</v>
      </c>
      <c r="G98" s="239">
        <f t="shared" si="28"/>
        <v>0</v>
      </c>
      <c r="H98" s="239">
        <f t="shared" si="28"/>
        <v>0</v>
      </c>
      <c r="I98" s="239">
        <f t="shared" si="28"/>
        <v>0</v>
      </c>
      <c r="J98" s="239">
        <f t="shared" si="28"/>
        <v>0</v>
      </c>
      <c r="K98" s="239">
        <f t="shared" si="28"/>
        <v>0</v>
      </c>
      <c r="L98" s="239">
        <f t="shared" si="28"/>
        <v>0</v>
      </c>
      <c r="M98" s="239">
        <f t="shared" si="28"/>
        <v>0</v>
      </c>
      <c r="N98" s="239">
        <f t="shared" si="28"/>
        <v>0</v>
      </c>
      <c r="O98" s="239">
        <f t="shared" si="28"/>
        <v>0</v>
      </c>
      <c r="P98" s="239">
        <f t="shared" si="28"/>
        <v>0</v>
      </c>
      <c r="Q98" s="239">
        <f t="shared" si="28"/>
        <v>0</v>
      </c>
      <c r="R98" s="239">
        <f t="shared" si="28"/>
        <v>0</v>
      </c>
      <c r="S98" s="239">
        <f t="shared" si="28"/>
        <v>0</v>
      </c>
      <c r="T98" s="239">
        <f t="shared" si="28"/>
        <v>0</v>
      </c>
      <c r="U98" s="239">
        <f t="shared" si="28"/>
        <v>0</v>
      </c>
    </row>
    <row r="99" spans="1:23" outlineLevel="1">
      <c r="A99" s="21" t="s">
        <v>136</v>
      </c>
      <c r="B99" s="229">
        <v>0</v>
      </c>
      <c r="C99" s="229">
        <v>0</v>
      </c>
      <c r="D99" s="229">
        <v>0</v>
      </c>
      <c r="E99" s="229">
        <v>0</v>
      </c>
      <c r="F99" s="229">
        <v>0</v>
      </c>
      <c r="G99" s="229">
        <v>0</v>
      </c>
      <c r="H99" s="229">
        <v>0</v>
      </c>
      <c r="I99" s="229">
        <v>0</v>
      </c>
      <c r="J99" s="229">
        <v>0</v>
      </c>
      <c r="K99" s="229">
        <v>0</v>
      </c>
      <c r="L99" s="229">
        <v>0</v>
      </c>
      <c r="M99" s="229">
        <v>0</v>
      </c>
      <c r="N99" s="229">
        <v>0</v>
      </c>
      <c r="O99" s="229">
        <v>0</v>
      </c>
      <c r="P99" s="229">
        <v>0</v>
      </c>
      <c r="Q99" s="229">
        <v>0</v>
      </c>
      <c r="R99" s="229">
        <v>0</v>
      </c>
      <c r="S99" s="229">
        <v>0</v>
      </c>
      <c r="T99" s="20">
        <f>IF(L98&gt;(SUM(M100:S100)+SUM(L99:S99))*-1,L98-(SUM(L100:S100)+SUM(L99:S99))*-1,0)</f>
        <v>0</v>
      </c>
      <c r="U99" s="20">
        <f>IF(M98&gt;(SUM(N100:T100)+SUM(M99:T99))*-1,M98-(SUM(M100:T100)+SUM(M99:T99))*-1,0)</f>
        <v>0</v>
      </c>
    </row>
    <row r="100" spans="1:23" outlineLevel="1">
      <c r="A100" s="17" t="s">
        <v>137</v>
      </c>
      <c r="B100" s="230">
        <f t="shared" ref="B100:T100" si="29">IF(B95&lt;0,0,IF(B97&gt;B95,-B95,-B97))</f>
        <v>0</v>
      </c>
      <c r="C100" s="230">
        <f t="shared" si="29"/>
        <v>0</v>
      </c>
      <c r="D100" s="230">
        <f t="shared" si="29"/>
        <v>0</v>
      </c>
      <c r="E100" s="230">
        <f t="shared" si="29"/>
        <v>-356.20824452795841</v>
      </c>
      <c r="F100" s="230">
        <f t="shared" si="29"/>
        <v>-599.82469504500796</v>
      </c>
      <c r="G100" s="230">
        <f t="shared" si="29"/>
        <v>-632.82834474660194</v>
      </c>
      <c r="H100" s="230">
        <f t="shared" si="29"/>
        <v>0</v>
      </c>
      <c r="I100" s="230">
        <f t="shared" si="29"/>
        <v>0</v>
      </c>
      <c r="J100" s="230">
        <f t="shared" si="29"/>
        <v>0</v>
      </c>
      <c r="K100" s="230">
        <f t="shared" si="29"/>
        <v>0</v>
      </c>
      <c r="L100" s="230">
        <f t="shared" si="29"/>
        <v>0</v>
      </c>
      <c r="M100" s="230">
        <f t="shared" si="29"/>
        <v>0</v>
      </c>
      <c r="N100" s="230">
        <f t="shared" si="29"/>
        <v>0</v>
      </c>
      <c r="O100" s="230">
        <f t="shared" si="29"/>
        <v>0</v>
      </c>
      <c r="P100" s="230">
        <f t="shared" si="29"/>
        <v>0</v>
      </c>
      <c r="Q100" s="230">
        <f t="shared" si="29"/>
        <v>0</v>
      </c>
      <c r="R100" s="230">
        <f t="shared" si="29"/>
        <v>0</v>
      </c>
      <c r="S100" s="230">
        <f t="shared" si="29"/>
        <v>0</v>
      </c>
      <c r="T100" s="230">
        <f t="shared" si="29"/>
        <v>0</v>
      </c>
      <c r="U100" s="230">
        <f>IF(U95&lt;0,0,IF(U97&gt;U95,-U95,-U97))</f>
        <v>0</v>
      </c>
    </row>
    <row r="101" spans="1:23" outlineLevel="1">
      <c r="A101" s="17" t="s">
        <v>138</v>
      </c>
      <c r="B101" s="230">
        <f t="shared" ref="B101:U101" si="30">SUM(B97:B100)</f>
        <v>172.67176131566626</v>
      </c>
      <c r="C101" s="230">
        <f t="shared" si="30"/>
        <v>949.93350956626011</v>
      </c>
      <c r="D101" s="230">
        <f t="shared" si="30"/>
        <v>1588.8612843195683</v>
      </c>
      <c r="E101" s="230">
        <f t="shared" si="30"/>
        <v>1232.6530397916099</v>
      </c>
      <c r="F101" s="230">
        <f t="shared" si="30"/>
        <v>632.82834474660194</v>
      </c>
      <c r="G101" s="230">
        <f t="shared" si="30"/>
        <v>0</v>
      </c>
      <c r="H101" s="230">
        <f t="shared" si="30"/>
        <v>0</v>
      </c>
      <c r="I101" s="230">
        <f t="shared" si="30"/>
        <v>0</v>
      </c>
      <c r="J101" s="230">
        <f t="shared" si="30"/>
        <v>0</v>
      </c>
      <c r="K101" s="230">
        <f t="shared" si="30"/>
        <v>0</v>
      </c>
      <c r="L101" s="230">
        <f t="shared" si="30"/>
        <v>0</v>
      </c>
      <c r="M101" s="230">
        <f t="shared" si="30"/>
        <v>0</v>
      </c>
      <c r="N101" s="230">
        <f t="shared" si="30"/>
        <v>0</v>
      </c>
      <c r="O101" s="230">
        <f t="shared" si="30"/>
        <v>0</v>
      </c>
      <c r="P101" s="230">
        <f t="shared" si="30"/>
        <v>0</v>
      </c>
      <c r="Q101" s="230">
        <f t="shared" si="30"/>
        <v>0</v>
      </c>
      <c r="R101" s="230">
        <f t="shared" si="30"/>
        <v>0</v>
      </c>
      <c r="S101" s="230">
        <f t="shared" si="30"/>
        <v>0</v>
      </c>
      <c r="T101" s="230">
        <f t="shared" si="30"/>
        <v>0</v>
      </c>
      <c r="U101" s="230">
        <f t="shared" si="30"/>
        <v>0</v>
      </c>
    </row>
    <row r="102" spans="1:23" outlineLevel="1">
      <c r="A102" s="17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3" ht="13.5" outlineLevel="1" thickBot="1">
      <c r="A103" s="32" t="s">
        <v>130</v>
      </c>
      <c r="B103" s="327">
        <f t="shared" ref="B103:U103" si="31">IF(B95&lt;0,0,B95+B100)</f>
        <v>0</v>
      </c>
      <c r="C103" s="327">
        <f t="shared" si="31"/>
        <v>0</v>
      </c>
      <c r="D103" s="327">
        <f t="shared" si="31"/>
        <v>0</v>
      </c>
      <c r="E103" s="327">
        <f t="shared" si="31"/>
        <v>0</v>
      </c>
      <c r="F103" s="327">
        <f t="shared" si="31"/>
        <v>0</v>
      </c>
      <c r="G103" s="327">
        <f t="shared" si="31"/>
        <v>114.14040888911381</v>
      </c>
      <c r="H103" s="327">
        <f t="shared" si="31"/>
        <v>853.60008189205678</v>
      </c>
      <c r="I103" s="327">
        <f t="shared" si="31"/>
        <v>916.34146940567598</v>
      </c>
      <c r="J103" s="327">
        <f t="shared" si="31"/>
        <v>990.41317182864907</v>
      </c>
      <c r="K103" s="327">
        <f t="shared" si="31"/>
        <v>1066.7170124242698</v>
      </c>
      <c r="L103" s="327">
        <f t="shared" si="31"/>
        <v>1164.7616393626215</v>
      </c>
      <c r="M103" s="327">
        <f t="shared" si="31"/>
        <v>1265.4399423591076</v>
      </c>
      <c r="N103" s="327">
        <f t="shared" si="31"/>
        <v>1351.1388376457985</v>
      </c>
      <c r="O103" s="327">
        <f t="shared" si="31"/>
        <v>1454.8280230221681</v>
      </c>
      <c r="P103" s="327">
        <f t="shared" si="31"/>
        <v>1536.2624684323548</v>
      </c>
      <c r="Q103" s="327">
        <f t="shared" si="31"/>
        <v>2062.9198158276963</v>
      </c>
      <c r="R103" s="327">
        <f t="shared" si="31"/>
        <v>2558.3608170590933</v>
      </c>
      <c r="S103" s="327">
        <f t="shared" si="31"/>
        <v>2654.1592003932019</v>
      </c>
      <c r="T103" s="327">
        <f t="shared" si="31"/>
        <v>2742.0184283702379</v>
      </c>
      <c r="U103" s="327">
        <f t="shared" si="31"/>
        <v>2830.1717426248351</v>
      </c>
      <c r="W103" s="420">
        <f>SUM(B103:U103)</f>
        <v>23561.273059536878</v>
      </c>
    </row>
    <row r="104" spans="1:23" outlineLevel="1">
      <c r="A104" s="7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 outlineLevel="1">
      <c r="A105" s="7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ht="14.25" outlineLevel="1">
      <c r="A106" s="75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519"/>
      <c r="B107" s="519"/>
      <c r="C107" s="519"/>
      <c r="D107" s="519"/>
      <c r="E107" s="519"/>
      <c r="F107" s="519"/>
      <c r="G107" s="519"/>
      <c r="H107" s="519"/>
      <c r="I107" s="519"/>
      <c r="J107" s="519"/>
      <c r="K107" s="519"/>
      <c r="L107" s="519"/>
      <c r="M107" s="519"/>
      <c r="N107" s="519"/>
      <c r="O107" s="519"/>
      <c r="P107" s="519"/>
      <c r="Q107" s="519"/>
      <c r="R107" s="519"/>
      <c r="S107" s="519"/>
      <c r="T107" s="519"/>
      <c r="U107" s="519"/>
    </row>
    <row r="108" spans="1:23" outlineLevel="1">
      <c r="A108" s="7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522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523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outlineLevel="1">
      <c r="A113" s="7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8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82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82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82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8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8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ht="15" customHeight="1" outlineLevel="1">
      <c r="A126" s="80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0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ht="14.25" customHeight="1" outlineLevel="1">
      <c r="A128" s="80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0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80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</row>
    <row r="131" spans="1:21" outlineLevel="1">
      <c r="A131" s="83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</row>
    <row r="132" spans="1:21" outlineLevel="1">
      <c r="A132" s="83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</row>
    <row r="133" spans="1:21" outlineLevel="1">
      <c r="A133" s="83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</row>
    <row r="134" spans="1:21" outlineLevel="1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</row>
    <row r="135" spans="1:21" outlineLevel="1">
      <c r="A135" s="7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</row>
    <row r="136" spans="1:21" outlineLevel="1">
      <c r="A136" s="7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1:21" outlineLevel="1">
      <c r="A137" s="7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 spans="1:21" ht="18.75" outlineLevel="1">
      <c r="A138" s="84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1:21" outlineLevel="1">
      <c r="A139" s="57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 spans="1:21" outlineLevel="1">
      <c r="A140" s="57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pans="1:21" outlineLevel="1">
      <c r="A141" s="7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7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2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outlineLevel="1">
      <c r="A144" s="80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79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8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69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80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7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79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79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79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6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6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80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9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2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7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78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8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7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79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7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79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79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80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81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79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82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82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8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80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80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80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0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80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0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7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</row>
    <row r="187" spans="1:21" outlineLevel="1">
      <c r="A187" s="7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</row>
    <row r="188" spans="1:21" outlineLevel="1">
      <c r="A188" s="7"/>
      <c r="B188" s="7"/>
      <c r="C188" s="7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</row>
    <row r="189" spans="1:21" ht="18.75" outlineLevel="1">
      <c r="A189" s="8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5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5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2"/>
      <c r="B193" s="9"/>
      <c r="C193" s="9"/>
      <c r="D193" s="9"/>
      <c r="E193" s="9"/>
      <c r="F193" s="9"/>
      <c r="G193" s="9"/>
      <c r="H193" s="9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86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86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86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7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86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86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86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86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57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57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57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7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7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57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57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7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6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86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86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86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86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57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5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57"/>
      <c r="B237" s="7"/>
      <c r="C237" s="59"/>
      <c r="D237" s="59"/>
      <c r="E237" s="59"/>
      <c r="F237" s="59"/>
      <c r="G237" s="59"/>
      <c r="H237" s="5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57"/>
      <c r="B238" s="7"/>
      <c r="C238" s="59"/>
      <c r="D238" s="59"/>
      <c r="E238" s="59"/>
      <c r="F238" s="59"/>
      <c r="G238" s="59"/>
      <c r="H238" s="5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57"/>
      <c r="B239" s="7"/>
      <c r="C239" s="59"/>
      <c r="D239" s="59"/>
      <c r="E239" s="59"/>
      <c r="F239" s="59"/>
      <c r="G239" s="59"/>
      <c r="H239" s="59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57"/>
      <c r="B240" s="7"/>
      <c r="C240" s="59"/>
      <c r="D240" s="59"/>
      <c r="E240" s="59"/>
      <c r="F240" s="59"/>
      <c r="G240" s="59"/>
      <c r="H240" s="5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8.75" outlineLevel="1">
      <c r="A242" s="8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s="90" customFormat="1" outlineLevel="1">
      <c r="A246" s="89"/>
    </row>
    <row r="247" spans="1:21" outlineLevel="1">
      <c r="A247" s="5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7"/>
      <c r="B250" s="7"/>
      <c r="C250" s="93"/>
      <c r="D250" s="93"/>
      <c r="E250" s="93"/>
      <c r="F250" s="93"/>
      <c r="G250" s="93"/>
      <c r="H250" s="93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8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94"/>
      <c r="B253" s="7"/>
      <c r="C253" s="59"/>
      <c r="D253" s="59"/>
      <c r="E253" s="59"/>
      <c r="F253" s="59"/>
      <c r="G253" s="59"/>
      <c r="H253" s="59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94"/>
      <c r="B254" s="7"/>
      <c r="C254" s="59"/>
      <c r="D254" s="59"/>
      <c r="E254" s="59"/>
      <c r="F254" s="59"/>
      <c r="G254" s="59"/>
      <c r="H254" s="59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94"/>
      <c r="B255" s="7"/>
      <c r="C255" s="59"/>
      <c r="D255" s="59"/>
      <c r="E255" s="59"/>
      <c r="F255" s="59"/>
      <c r="G255" s="59"/>
      <c r="H255" s="59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94"/>
      <c r="B256" s="7"/>
      <c r="C256" s="59"/>
      <c r="D256" s="59"/>
      <c r="E256" s="59"/>
      <c r="F256" s="59"/>
      <c r="G256" s="59"/>
      <c r="H256" s="59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94"/>
      <c r="B257" s="7"/>
      <c r="C257" s="91"/>
      <c r="D257" s="91"/>
      <c r="E257" s="91"/>
      <c r="F257" s="91"/>
      <c r="G257" s="91"/>
      <c r="H257" s="91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57"/>
      <c r="B258" s="7"/>
      <c r="C258" s="95"/>
      <c r="D258" s="95"/>
      <c r="E258" s="95"/>
      <c r="F258" s="95"/>
      <c r="G258" s="95"/>
      <c r="H258" s="95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94"/>
      <c r="B259" s="7"/>
      <c r="C259" s="96"/>
      <c r="D259" s="96"/>
      <c r="E259" s="96"/>
      <c r="F259" s="96"/>
      <c r="G259" s="96"/>
      <c r="H259" s="96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94"/>
      <c r="B260" s="7"/>
      <c r="C260" s="96"/>
      <c r="D260" s="96"/>
      <c r="E260" s="96"/>
      <c r="F260" s="96"/>
      <c r="G260" s="96"/>
      <c r="H260" s="96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94"/>
      <c r="B261" s="7"/>
      <c r="C261" s="96"/>
      <c r="D261" s="96"/>
      <c r="E261" s="96"/>
      <c r="F261" s="96"/>
      <c r="G261" s="96"/>
      <c r="H261" s="96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94"/>
      <c r="B262" s="7"/>
      <c r="C262" s="96"/>
      <c r="D262" s="96"/>
      <c r="E262" s="96"/>
      <c r="F262" s="96"/>
      <c r="G262" s="96"/>
      <c r="H262" s="96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94"/>
      <c r="B263" s="7"/>
      <c r="C263" s="95"/>
      <c r="D263" s="95"/>
      <c r="E263" s="95"/>
      <c r="F263" s="95"/>
      <c r="G263" s="95"/>
      <c r="H263" s="95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5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59"/>
      <c r="D265" s="59"/>
      <c r="E265" s="59"/>
      <c r="F265" s="59"/>
      <c r="G265" s="59"/>
      <c r="H265" s="5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7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97"/>
      <c r="C268" s="59"/>
      <c r="D268" s="59"/>
      <c r="E268" s="59"/>
      <c r="F268" s="59"/>
      <c r="G268" s="59"/>
      <c r="H268" s="5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5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7"/>
      <c r="B271" s="7"/>
      <c r="C271" s="91"/>
      <c r="D271" s="91"/>
      <c r="E271" s="91"/>
      <c r="F271" s="91"/>
      <c r="G271" s="91"/>
      <c r="H271" s="91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1"/>
      <c r="D272" s="91"/>
      <c r="E272" s="91"/>
      <c r="F272" s="91"/>
      <c r="G272" s="91"/>
      <c r="H272" s="91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1"/>
      <c r="D273" s="91"/>
      <c r="E273" s="91"/>
      <c r="F273" s="91"/>
      <c r="G273" s="91"/>
      <c r="H273" s="91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97"/>
      <c r="C274" s="91"/>
      <c r="D274" s="91"/>
      <c r="E274" s="91"/>
      <c r="F274" s="91"/>
      <c r="G274" s="91"/>
      <c r="H274" s="91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7"/>
      <c r="B275" s="7"/>
      <c r="C275" s="91"/>
      <c r="D275" s="91"/>
      <c r="E275" s="91"/>
      <c r="F275" s="91"/>
      <c r="G275" s="91"/>
      <c r="H275" s="9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91"/>
      <c r="D276" s="91"/>
      <c r="E276" s="91"/>
      <c r="F276" s="91"/>
      <c r="G276" s="91"/>
      <c r="H276" s="91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91"/>
      <c r="D277" s="91"/>
      <c r="E277" s="91"/>
      <c r="F277" s="91"/>
      <c r="G277" s="91"/>
      <c r="H277" s="91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91"/>
      <c r="D278" s="91"/>
      <c r="E278" s="91"/>
      <c r="F278" s="91"/>
      <c r="G278" s="91"/>
      <c r="H278" s="9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7"/>
      <c r="C279" s="91"/>
      <c r="D279" s="91"/>
      <c r="E279" s="91"/>
      <c r="F279" s="91"/>
      <c r="G279" s="91"/>
      <c r="H279" s="91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91"/>
      <c r="D280" s="91"/>
      <c r="E280" s="91"/>
      <c r="F280" s="91"/>
      <c r="G280" s="91"/>
      <c r="H280" s="9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57"/>
      <c r="B282" s="98"/>
      <c r="C282" s="98"/>
      <c r="D282" s="98"/>
      <c r="E282" s="98"/>
      <c r="F282" s="98"/>
      <c r="G282" s="98"/>
      <c r="H282" s="98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57"/>
      <c r="B283" s="97"/>
      <c r="C283" s="98"/>
      <c r="D283" s="98"/>
      <c r="E283" s="98"/>
      <c r="F283" s="98"/>
      <c r="G283" s="98"/>
      <c r="H283" s="98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57"/>
      <c r="B284" s="98"/>
      <c r="C284" s="98"/>
      <c r="D284" s="98"/>
      <c r="E284" s="98"/>
      <c r="F284" s="98"/>
      <c r="G284" s="98"/>
      <c r="H284" s="98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57"/>
      <c r="B285" s="7"/>
      <c r="C285" s="98"/>
      <c r="D285" s="98"/>
      <c r="E285" s="98"/>
      <c r="F285" s="98"/>
      <c r="G285" s="98"/>
      <c r="H285" s="98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5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5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87"/>
      <c r="D290" s="87"/>
      <c r="E290" s="87"/>
      <c r="F290" s="87"/>
      <c r="G290" s="87"/>
      <c r="H290" s="8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8"/>
      <c r="D291" s="98"/>
      <c r="E291" s="98"/>
      <c r="F291" s="98"/>
      <c r="G291" s="98"/>
      <c r="H291" s="98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99"/>
      <c r="D292" s="99"/>
      <c r="E292" s="99"/>
      <c r="F292" s="99"/>
      <c r="G292" s="99"/>
      <c r="H292" s="99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87"/>
      <c r="D293" s="87"/>
      <c r="E293" s="87"/>
      <c r="F293" s="87"/>
      <c r="G293" s="87"/>
      <c r="H293" s="8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7"/>
      <c r="B294" s="7"/>
      <c r="C294" s="99"/>
      <c r="D294" s="99"/>
      <c r="E294" s="99"/>
      <c r="F294" s="99"/>
      <c r="G294" s="99"/>
      <c r="H294" s="99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7"/>
      <c r="B295" s="7"/>
      <c r="C295" s="100"/>
      <c r="D295" s="100"/>
      <c r="E295" s="100"/>
      <c r="F295" s="100"/>
      <c r="G295" s="100"/>
      <c r="H295" s="100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7"/>
      <c r="B296" s="7"/>
      <c r="C296" s="100"/>
      <c r="D296" s="100"/>
      <c r="E296" s="100"/>
      <c r="F296" s="100"/>
      <c r="G296" s="100"/>
      <c r="H296" s="100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8.75" hidden="1" outlineLevel="2">
      <c r="A297" s="84"/>
      <c r="B297" s="7"/>
      <c r="C297" s="100"/>
      <c r="D297" s="100"/>
      <c r="E297" s="100"/>
      <c r="F297" s="100"/>
      <c r="G297" s="100"/>
      <c r="H297" s="100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idden="1" outlineLevel="2">
      <c r="A298" s="57"/>
      <c r="B298" s="7"/>
      <c r="C298" s="100"/>
      <c r="D298" s="100"/>
      <c r="E298" s="100"/>
      <c r="F298" s="100"/>
      <c r="G298" s="100"/>
      <c r="H298" s="100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idden="1" outlineLevel="2">
      <c r="A299" s="7"/>
      <c r="B299" s="7"/>
      <c r="C299" s="100"/>
      <c r="D299" s="100"/>
      <c r="E299" s="100"/>
      <c r="F299" s="100"/>
      <c r="G299" s="100"/>
      <c r="H299" s="100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idden="1" outlineLevel="2">
      <c r="A300" s="57"/>
      <c r="B300" s="11"/>
      <c r="C300" s="11"/>
      <c r="D300" s="10"/>
      <c r="E300" s="10"/>
      <c r="F300" s="11"/>
      <c r="G300" s="11"/>
      <c r="H300" s="10"/>
      <c r="I300" s="11"/>
      <c r="J300" s="11"/>
      <c r="K300" s="11"/>
      <c r="L300" s="10"/>
      <c r="M300" s="11"/>
      <c r="N300" s="11"/>
      <c r="O300" s="7"/>
      <c r="P300" s="7"/>
      <c r="Q300" s="7"/>
      <c r="R300" s="7"/>
      <c r="S300" s="7"/>
      <c r="T300" s="11"/>
      <c r="U300" s="7"/>
    </row>
    <row r="301" spans="1:21" hidden="1" outlineLevel="2">
      <c r="A301" s="5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idden="1" outlineLevel="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idden="1" outlineLevel="2">
      <c r="A303" s="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7"/>
      <c r="P303" s="7"/>
      <c r="Q303" s="7"/>
      <c r="R303" s="7"/>
      <c r="S303" s="7"/>
      <c r="T303" s="87"/>
      <c r="U303" s="7"/>
    </row>
    <row r="304" spans="1:21" hidden="1" outlineLevel="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 hidden="1" outlineLevel="2">
      <c r="A305" s="7"/>
      <c r="B305" s="98"/>
      <c r="C305" s="98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7"/>
      <c r="P305" s="7"/>
      <c r="Q305" s="7"/>
      <c r="R305" s="7"/>
      <c r="S305" s="7"/>
      <c r="T305" s="87"/>
      <c r="U305" s="7"/>
    </row>
    <row r="306" spans="1:26" hidden="1" outlineLevel="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hidden="1" outlineLevel="2">
      <c r="A307" s="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7"/>
      <c r="P307" s="7"/>
      <c r="Q307" s="7"/>
      <c r="R307" s="7"/>
      <c r="S307" s="7"/>
      <c r="T307" s="87"/>
      <c r="U307" s="87"/>
      <c r="V307" s="87"/>
      <c r="W307" s="87"/>
      <c r="X307" s="87"/>
      <c r="Y307" s="87"/>
      <c r="Z307" s="87"/>
    </row>
    <row r="308" spans="1:26" hidden="1" outlineLevel="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hidden="1" outlineLevel="2">
      <c r="A309" s="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7"/>
      <c r="P309" s="7"/>
      <c r="Q309" s="7"/>
      <c r="R309" s="7"/>
      <c r="S309" s="7"/>
      <c r="T309" s="87"/>
      <c r="U309" s="7"/>
    </row>
    <row r="310" spans="1:26" hidden="1" outlineLevel="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hidden="1" outlineLevel="2">
      <c r="A311" s="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7"/>
      <c r="P311" s="7"/>
      <c r="Q311" s="7"/>
      <c r="R311" s="7"/>
      <c r="S311" s="7"/>
      <c r="T311" s="87"/>
      <c r="U311" s="87"/>
    </row>
    <row r="312" spans="1:26" hidden="1" outlineLevel="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hidden="1" outlineLevel="2">
      <c r="A313" s="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7"/>
      <c r="P313" s="7"/>
      <c r="Q313" s="7"/>
      <c r="R313" s="7"/>
      <c r="S313" s="7"/>
      <c r="T313" s="87"/>
      <c r="U313" s="87"/>
    </row>
    <row r="314" spans="1:26" hidden="1" outlineLevel="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6" outlineLevel="1" collapsed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6" outlineLevel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6" outlineLevel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6" ht="18.75" outlineLevel="1">
      <c r="A318" s="8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6" outlineLevel="1">
      <c r="A319" s="5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 outlineLevel="1">
      <c r="A320" s="5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outlineLevel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outlineLevel="1">
      <c r="A322" s="2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 spans="1:21" outlineLevel="1">
      <c r="A323" s="5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outlineLevel="1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86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5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86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86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86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86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5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 outlineLevel="1">
      <c r="A344" s="5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 outlineLevel="1">
      <c r="A346" s="5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 outlineLevel="1">
      <c r="A347" s="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 outlineLevel="1">
      <c r="A348" s="5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 outlineLevel="1">
      <c r="A353" s="5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 outlineLevel="1">
      <c r="A354" s="5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 outlineLevel="1">
      <c r="A355" s="86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 outlineLevel="1">
      <c r="A357" s="86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 outlineLevel="1">
      <c r="A358" s="86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 outlineLevel="1">
      <c r="A359" s="86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 outlineLevel="1">
      <c r="A360" s="2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 outlineLevel="1">
      <c r="A361" s="5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 outlineLevel="1">
      <c r="A362" s="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 outlineLevel="1">
      <c r="A363" s="5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 outlineLevel="1">
      <c r="A364" s="5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 outlineLevel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outlineLevel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8.75" outlineLevel="1">
      <c r="A368" s="8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outlineLevel="1">
      <c r="A369" s="5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outlineLevel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outlineLevel="1">
      <c r="A372" s="2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outlineLevel="1">
      <c r="A374" s="86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86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86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7"/>
      <c r="P376" s="7"/>
      <c r="Q376" s="7"/>
      <c r="R376" s="7"/>
      <c r="S376" s="7"/>
      <c r="T376" s="7"/>
      <c r="U376" s="7"/>
    </row>
    <row r="377" spans="1:21" outlineLevel="1">
      <c r="A377" s="86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7"/>
      <c r="P377" s="7"/>
      <c r="Q377" s="7"/>
      <c r="R377" s="7"/>
      <c r="S377" s="7"/>
      <c r="T377" s="7"/>
      <c r="U377" s="7"/>
    </row>
    <row r="378" spans="1:21" outlineLevel="1">
      <c r="A378" s="86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 outlineLevel="1">
      <c r="A379" s="86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 outlineLevel="1">
      <c r="A381" s="86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 outlineLevel="1">
      <c r="A382" s="86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 outlineLevel="1">
      <c r="A383" s="86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7"/>
      <c r="P383" s="7"/>
      <c r="Q383" s="7"/>
      <c r="R383" s="7"/>
      <c r="S383" s="7"/>
      <c r="T383" s="7"/>
      <c r="U383" s="7"/>
    </row>
    <row r="384" spans="1:21" outlineLevel="1">
      <c r="A384" s="86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86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57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5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5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57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5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57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</row>
    <row r="407" spans="1:21" outlineLevel="1">
      <c r="A407" s="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</row>
    <row r="408" spans="1:21" outlineLevel="1">
      <c r="A408" s="7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</row>
    <row r="409" spans="1:21" outlineLevel="1">
      <c r="A409" s="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</row>
    <row r="410" spans="1:21" outlineLevel="1">
      <c r="A410" s="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</row>
    <row r="411" spans="1:21" outlineLevel="1">
      <c r="A411" s="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</row>
    <row r="412" spans="1:21" outlineLevel="1">
      <c r="A412" s="57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</row>
    <row r="413" spans="1:21" outlineLevel="1">
      <c r="A413" s="7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</row>
    <row r="414" spans="1:21" outlineLevel="1">
      <c r="A414" s="7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</row>
    <row r="415" spans="1:21" outlineLevel="1">
      <c r="A415" s="57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</row>
    <row r="416" spans="1:21" outlineLevel="1">
      <c r="A416" s="57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</row>
    <row r="417" spans="1:21" outlineLevel="1">
      <c r="A417" s="7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7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7"/>
      <c r="P424" s="7"/>
      <c r="Q424" s="7"/>
      <c r="R424" s="7"/>
      <c r="S424" s="7"/>
      <c r="T424" s="7"/>
      <c r="U424" s="7"/>
    </row>
    <row r="425" spans="1:21" outlineLevel="1">
      <c r="A425" s="5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7"/>
      <c r="P425" s="7"/>
      <c r="Q425" s="7"/>
      <c r="R425" s="7"/>
      <c r="S425" s="7"/>
      <c r="T425" s="7"/>
      <c r="U425" s="7"/>
    </row>
    <row r="426" spans="1:21" outlineLevel="1">
      <c r="A426" s="5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7"/>
      <c r="P426" s="7"/>
      <c r="Q426" s="7"/>
      <c r="R426" s="7"/>
      <c r="S426" s="7"/>
      <c r="T426" s="7"/>
      <c r="U426" s="7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7"/>
      <c r="P427" s="7"/>
      <c r="Q427" s="7"/>
      <c r="R427" s="7"/>
      <c r="S427" s="7"/>
      <c r="T427" s="7"/>
      <c r="U427" s="7"/>
    </row>
    <row r="428" spans="1:21" outlineLevel="1">
      <c r="A428" s="5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7"/>
      <c r="P428" s="7"/>
      <c r="Q428" s="7"/>
      <c r="R428" s="7"/>
      <c r="S428" s="7"/>
      <c r="T428" s="7"/>
      <c r="U428" s="7"/>
    </row>
    <row r="429" spans="1:21" outlineLevel="1">
      <c r="A429" s="57"/>
      <c r="B429" s="102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7"/>
      <c r="P429" s="7"/>
      <c r="Q429" s="7"/>
      <c r="R429" s="7"/>
      <c r="S429" s="7"/>
      <c r="T429" s="7"/>
      <c r="U429" s="7"/>
    </row>
    <row r="430" spans="1:21" outlineLevel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8.75" outlineLevel="1">
      <c r="A431" s="8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outlineLevel="1">
      <c r="A432" s="5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outlineLevel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outlineLevel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outlineLevel="1">
      <c r="A435" s="2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</row>
    <row r="436" spans="1:21" outlineLevel="1">
      <c r="A436" s="7"/>
      <c r="B436" s="7"/>
      <c r="C436" s="73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outlineLevel="1">
      <c r="A437" s="57"/>
      <c r="B437" s="7"/>
      <c r="C437" s="73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7"/>
      <c r="P437" s="7"/>
      <c r="Q437" s="7"/>
      <c r="R437" s="7"/>
      <c r="S437" s="7"/>
      <c r="T437" s="7"/>
      <c r="U437" s="7"/>
    </row>
    <row r="438" spans="1:21" outlineLevel="1">
      <c r="A438" s="7"/>
      <c r="B438" s="7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"/>
      <c r="P438" s="7"/>
      <c r="Q438" s="7"/>
      <c r="R438" s="7"/>
      <c r="S438" s="7"/>
      <c r="T438" s="7"/>
      <c r="U438" s="7"/>
    </row>
    <row r="439" spans="1:21" outlineLevel="1">
      <c r="A439" s="7"/>
      <c r="B439" s="7"/>
      <c r="C439" s="73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7"/>
      <c r="P439" s="7"/>
      <c r="Q439" s="7"/>
      <c r="R439" s="7"/>
      <c r="S439" s="7"/>
      <c r="T439" s="7"/>
      <c r="U439" s="7"/>
    </row>
    <row r="440" spans="1:21" outlineLevel="1">
      <c r="A440" s="7"/>
      <c r="B440" s="7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"/>
      <c r="P441" s="7"/>
      <c r="Q441" s="7"/>
      <c r="R441" s="7"/>
      <c r="S441" s="7"/>
      <c r="T441" s="7"/>
      <c r="U441" s="7"/>
    </row>
    <row r="442" spans="1:21" outlineLevel="1">
      <c r="A442" s="94"/>
      <c r="B442" s="7"/>
      <c r="C442" s="73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7"/>
      <c r="P442" s="7"/>
      <c r="Q442" s="7"/>
      <c r="R442" s="7"/>
      <c r="S442" s="7"/>
      <c r="T442" s="7"/>
      <c r="U442" s="7"/>
    </row>
    <row r="443" spans="1:21" outlineLevel="1">
      <c r="A443" s="94"/>
      <c r="B443" s="7"/>
      <c r="C443" s="73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7"/>
      <c r="P443" s="7"/>
      <c r="Q443" s="7"/>
      <c r="R443" s="7"/>
      <c r="S443" s="7"/>
      <c r="T443" s="7"/>
      <c r="U443" s="7"/>
    </row>
    <row r="444" spans="1:21" outlineLevel="1">
      <c r="A444" s="57"/>
      <c r="B444" s="7"/>
      <c r="C444" s="73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7"/>
      <c r="B445" s="102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7"/>
      <c r="P445" s="7"/>
      <c r="Q445" s="7"/>
      <c r="R445" s="7"/>
      <c r="S445" s="7"/>
      <c r="T445" s="7"/>
      <c r="U445" s="7"/>
    </row>
    <row r="446" spans="1:21" outlineLevel="1">
      <c r="A446" s="7"/>
      <c r="B446" s="7"/>
      <c r="C446" s="73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outlineLevel="1">
      <c r="A447" s="57"/>
      <c r="B447" s="7"/>
      <c r="C447" s="73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7"/>
      <c r="P447" s="7"/>
      <c r="Q447" s="7"/>
      <c r="R447" s="7"/>
      <c r="S447" s="7"/>
      <c r="T447" s="7"/>
      <c r="U447" s="7"/>
    </row>
    <row r="448" spans="1:21" outlineLevel="1">
      <c r="A448" s="7"/>
      <c r="B448" s="7"/>
      <c r="C448" s="73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7"/>
      <c r="P448" s="7"/>
      <c r="Q448" s="7"/>
      <c r="R448" s="7"/>
      <c r="S448" s="7"/>
      <c r="T448" s="7"/>
      <c r="U448" s="7"/>
    </row>
    <row r="449" spans="1:21" outlineLevel="1">
      <c r="A449" s="57"/>
      <c r="B449" s="7"/>
      <c r="C449" s="73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s="106" customFormat="1" ht="18.75" outlineLevel="1">
      <c r="A452" s="104"/>
      <c r="B452" s="105"/>
      <c r="C452" s="105"/>
    </row>
    <row r="453" spans="1:21" s="106" customFormat="1" outlineLevel="1">
      <c r="A453" s="105"/>
      <c r="B453" s="107"/>
      <c r="C453" s="108"/>
      <c r="D453" s="105"/>
      <c r="E453" s="109"/>
    </row>
    <row r="454" spans="1:21" s="106" customFormat="1" outlineLevel="1">
      <c r="A454" s="105"/>
      <c r="B454" s="110"/>
      <c r="C454" s="88"/>
      <c r="D454" s="88"/>
      <c r="E454" s="109"/>
    </row>
    <row r="455" spans="1:21" s="106" customFormat="1" outlineLevel="1">
      <c r="A455" s="105"/>
      <c r="B455" s="88"/>
      <c r="C455" s="109"/>
      <c r="D455" s="88"/>
      <c r="E455" s="110"/>
    </row>
    <row r="456" spans="1:21" s="106" customFormat="1" outlineLevel="1">
      <c r="A456" s="111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</row>
    <row r="457" spans="1:21" s="106" customFormat="1" outlineLevel="1">
      <c r="A457" s="80"/>
      <c r="B457" s="105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79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79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outlineLevel="1">
      <c r="A461" s="78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06" customFormat="1" outlineLevel="1">
      <c r="A462" s="69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 s="80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 s="113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 s="113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 s="113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 s="113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 outlineLevel="1">
      <c r="A468" s="113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83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113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113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113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113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80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80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80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80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79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79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80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82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</row>
    <row r="483" spans="1:21" s="106" customFormat="1" outlineLevel="1">
      <c r="A483" s="79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ht="13.9" customHeight="1" outlineLevel="1">
      <c r="A484" s="78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16" customFormat="1" outlineLevel="1">
      <c r="A485" s="115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78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79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79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79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80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16" customFormat="1" outlineLevel="1">
      <c r="A492" s="117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79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s="106" customFormat="1" outlineLevel="1">
      <c r="A494" s="8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outlineLevel="1">
      <c r="A495" s="8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06" customFormat="1" outlineLevel="1">
      <c r="A496" s="8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79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16" customFormat="1" outlineLevel="1">
      <c r="A498" s="115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8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8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16" customFormat="1" outlineLevel="1">
      <c r="A502" s="117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06" customFormat="1" outlineLevel="1">
      <c r="A503" s="80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16" customFormat="1" outlineLevel="1">
      <c r="A504" s="117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 s="80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 s="80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 s="80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outlineLevel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outlineLevel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outlineLevel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8.75" outlineLevel="1">
      <c r="A511" s="8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outlineLevel="1">
      <c r="A512" s="5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outlineLevel="1">
      <c r="A513" s="118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7"/>
      <c r="N513" s="7"/>
      <c r="O513" s="7"/>
      <c r="P513" s="7"/>
      <c r="Q513" s="7"/>
      <c r="R513" s="7"/>
      <c r="S513" s="7"/>
      <c r="T513" s="7"/>
      <c r="U513" s="7"/>
    </row>
    <row r="514" spans="1:21" outlineLevel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outlineLevel="1">
      <c r="A515" s="2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2">
      <c r="A516" s="5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2">
      <c r="A517" s="86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idden="1" outlineLevel="2">
      <c r="A518" s="86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idden="1" outlineLevel="2">
      <c r="A519" s="119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2">
      <c r="A520" s="86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2">
      <c r="A521" s="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2">
      <c r="A522" s="5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2">
      <c r="A523" s="86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2">
      <c r="A524" s="86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2">
      <c r="A525" s="86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idden="1" outlineLevel="2">
      <c r="A526" s="86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2">
      <c r="A527" s="86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2">
      <c r="A530" s="86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2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2">
      <c r="A533" s="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2">
      <c r="A534" s="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2">
      <c r="A535" s="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2">
      <c r="A537" s="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2">
      <c r="A538" s="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2">
      <c r="A539" s="5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outlineLevel="1" collapsed="1">
      <c r="A541" s="5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outlineLevel="1">
      <c r="A542" s="5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outlineLevel="1">
      <c r="A543" s="5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outlineLevel="1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outlineLevel="1">
      <c r="A545" s="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outlineLevel="1">
      <c r="A546" s="5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outlineLevel="1">
      <c r="A547" s="5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outlineLevel="1">
      <c r="A548" s="5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outlineLevel="1">
      <c r="A549" s="5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V740"/>
  <sheetViews>
    <sheetView topLeftCell="A81" zoomScale="75" zoomScaleNormal="75" workbookViewId="0">
      <selection activeCell="C101" sqref="C101"/>
    </sheetView>
  </sheetViews>
  <sheetFormatPr defaultRowHeight="12.75" outlineLevelRow="2" outlineLevelCol="1"/>
  <cols>
    <col min="1" max="1" width="46.855468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" style="7" bestFit="1" customWidth="1"/>
    <col min="24" max="25" width="9.140625" style="7"/>
    <col min="26" max="26" width="7.85546875" style="7" customWidth="1"/>
    <col min="27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85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Brownsville!$B$5</f>
        <v>2001</v>
      </c>
      <c r="C5" s="8">
        <f t="shared" ref="C5:U5" si="0">B5+1</f>
        <v>2002</v>
      </c>
      <c r="D5" s="8">
        <f>C5+1</f>
        <v>2003</v>
      </c>
      <c r="E5" s="8">
        <f>D5+1</f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>J5+1</f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1888.9563105357156</v>
      </c>
      <c r="AA7" s="470">
        <f>C10+C11</f>
        <v>1945.6249998517872</v>
      </c>
      <c r="AB7" s="470">
        <f>D10+D11</f>
        <v>2003.993749847341</v>
      </c>
      <c r="AC7" s="470">
        <f t="shared" ref="AC7:AS7" si="1">E16</f>
        <v>1726.4609193427605</v>
      </c>
      <c r="AD7" s="470">
        <f t="shared" si="1"/>
        <v>1778.2547469230433</v>
      </c>
      <c r="AE7" s="470">
        <f t="shared" si="1"/>
        <v>1831.6023893307347</v>
      </c>
      <c r="AF7" s="470">
        <f t="shared" si="1"/>
        <v>1886.5504610106568</v>
      </c>
      <c r="AG7" s="470">
        <f t="shared" si="1"/>
        <v>1943.1469748409763</v>
      </c>
      <c r="AH7" s="470">
        <f t="shared" si="1"/>
        <v>2001.441384086206</v>
      </c>
      <c r="AI7" s="470">
        <f t="shared" si="1"/>
        <v>2061.4846256087922</v>
      </c>
      <c r="AJ7" s="470">
        <f t="shared" si="1"/>
        <v>2123.3291643770558</v>
      </c>
      <c r="AK7" s="470">
        <f t="shared" si="1"/>
        <v>2187.0290393083674</v>
      </c>
      <c r="AL7" s="470">
        <f t="shared" si="1"/>
        <v>2252.6399104876177</v>
      </c>
      <c r="AM7" s="470">
        <f t="shared" si="1"/>
        <v>2320.219107802247</v>
      </c>
      <c r="AN7" s="470">
        <f t="shared" si="1"/>
        <v>2389.8256810363146</v>
      </c>
      <c r="AO7" s="470">
        <f t="shared" si="1"/>
        <v>2461.5204514674033</v>
      </c>
      <c r="AP7" s="470">
        <f t="shared" si="1"/>
        <v>2535.3660650114257</v>
      </c>
      <c r="AQ7" s="470">
        <f t="shared" si="1"/>
        <v>2611.4270469617682</v>
      </c>
      <c r="AR7" s="470">
        <f t="shared" si="1"/>
        <v>2689.7698583706215</v>
      </c>
      <c r="AS7" s="470">
        <f t="shared" si="1"/>
        <v>2770.4629541217396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92">
        <v>0</v>
      </c>
      <c r="Z8" s="491">
        <f>B23+B24</f>
        <v>1888.9563105357156</v>
      </c>
      <c r="AA8" s="491">
        <f>C23+C24</f>
        <v>1945.6249998517872</v>
      </c>
      <c r="AB8" s="491">
        <f>D23+D24</f>
        <v>2003.993749847341</v>
      </c>
      <c r="AC8" s="491">
        <f t="shared" ref="AC8:AS8" si="2">E23+1/3*E24</f>
        <v>1726.4609193427605</v>
      </c>
      <c r="AD8" s="491">
        <f t="shared" si="2"/>
        <v>1778.2547469230433</v>
      </c>
      <c r="AE8" s="491">
        <f t="shared" si="2"/>
        <v>1831.6023893307347</v>
      </c>
      <c r="AF8" s="491">
        <f t="shared" si="2"/>
        <v>1886.5504610106568</v>
      </c>
      <c r="AG8" s="491">
        <f t="shared" si="2"/>
        <v>1943.1469748409766</v>
      </c>
      <c r="AH8" s="491">
        <f t="shared" si="2"/>
        <v>2001.4413840862062</v>
      </c>
      <c r="AI8" s="491">
        <f t="shared" si="2"/>
        <v>2061.4846256087922</v>
      </c>
      <c r="AJ8" s="491">
        <f t="shared" si="2"/>
        <v>2123.3291643770558</v>
      </c>
      <c r="AK8" s="491">
        <f t="shared" si="2"/>
        <v>2187.0290393083674</v>
      </c>
      <c r="AL8" s="491">
        <f t="shared" si="2"/>
        <v>2252.6399104876182</v>
      </c>
      <c r="AM8" s="491">
        <f t="shared" si="2"/>
        <v>2320.219107802247</v>
      </c>
      <c r="AN8" s="491">
        <f t="shared" si="2"/>
        <v>2389.8256810363146</v>
      </c>
      <c r="AO8" s="491">
        <f t="shared" si="2"/>
        <v>2461.5204514674033</v>
      </c>
      <c r="AP8" s="491">
        <f t="shared" si="2"/>
        <v>2535.3660650114257</v>
      </c>
      <c r="AQ8" s="491">
        <f t="shared" si="2"/>
        <v>2611.4270469617686</v>
      </c>
      <c r="AR8" s="491">
        <f t="shared" si="2"/>
        <v>2689.7698583706215</v>
      </c>
      <c r="AS8" s="491">
        <f t="shared" si="2"/>
        <v>2770.46295412174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Assumption'!C40*12*Assumptions!$H$9</f>
        <v>22560</v>
      </c>
      <c r="C9" s="56">
        <f>'Power Price Assumption'!D40*12*Assumptions!$H$9</f>
        <v>22560</v>
      </c>
      <c r="D9" s="56">
        <f>'Power Price Assumption'!E40*12*Assumptions!$H$9</f>
        <v>22560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67680</v>
      </c>
      <c r="X9" s="16"/>
      <c r="Y9" s="469"/>
      <c r="Z9" s="493">
        <f>Z7-Z8</f>
        <v>0</v>
      </c>
      <c r="AA9" s="493">
        <f t="shared" ref="AA9:AS9" si="3">AA7-AA8</f>
        <v>0</v>
      </c>
      <c r="AB9" s="493">
        <f t="shared" si="3"/>
        <v>0</v>
      </c>
      <c r="AC9" s="493">
        <f t="shared" si="3"/>
        <v>0</v>
      </c>
      <c r="AD9" s="493">
        <f t="shared" si="3"/>
        <v>0</v>
      </c>
      <c r="AE9" s="493">
        <f t="shared" si="3"/>
        <v>0</v>
      </c>
      <c r="AF9" s="493">
        <f t="shared" si="3"/>
        <v>0</v>
      </c>
      <c r="AG9" s="493">
        <f t="shared" si="3"/>
        <v>0</v>
      </c>
      <c r="AH9" s="493">
        <f t="shared" si="3"/>
        <v>0</v>
      </c>
      <c r="AI9" s="493">
        <f t="shared" si="3"/>
        <v>0</v>
      </c>
      <c r="AJ9" s="493">
        <f t="shared" si="3"/>
        <v>0</v>
      </c>
      <c r="AK9" s="493">
        <f t="shared" si="3"/>
        <v>0</v>
      </c>
      <c r="AL9" s="493">
        <f t="shared" si="3"/>
        <v>0</v>
      </c>
      <c r="AM9" s="493">
        <f t="shared" si="3"/>
        <v>0</v>
      </c>
      <c r="AN9" s="493">
        <f t="shared" si="3"/>
        <v>0</v>
      </c>
      <c r="AO9" s="493">
        <f t="shared" si="3"/>
        <v>0</v>
      </c>
      <c r="AP9" s="493">
        <f t="shared" si="3"/>
        <v>0</v>
      </c>
      <c r="AQ9" s="493">
        <f t="shared" si="3"/>
        <v>0</v>
      </c>
      <c r="AR9" s="493">
        <f t="shared" si="3"/>
        <v>0</v>
      </c>
      <c r="AS9" s="493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Assumptions!H19*Assumptions!H17/1000*(1+Assumptions!$H$25)</f>
        <v>1425.4563105357156</v>
      </c>
      <c r="C10" s="56">
        <f>B10*(1+Assumptions!$H$25)</f>
        <v>1468.2199998517872</v>
      </c>
      <c r="D10" s="56">
        <f>C10*(1+Assumptions!$H$25)</f>
        <v>1512.2665998473408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4405.942910234844</v>
      </c>
      <c r="X10" s="16"/>
      <c r="Y10" s="16"/>
      <c r="Z10" s="16"/>
      <c r="AA10" s="16"/>
      <c r="AB10" s="17"/>
      <c r="AC10" s="17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Assumptions!$H$18*Assumptions!$H$11*Assumptions!$H$8/1000*(1+Assumptions!$H$25)</f>
        <v>463.5</v>
      </c>
      <c r="C11" s="91">
        <f>B11*(1+Assumptions!$H$25)</f>
        <v>477.40500000000003</v>
      </c>
      <c r="D11" s="91">
        <f>C11*(1+Assumptions!$H$25)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Contract'!$C$35/3</f>
        <v>9602.8202017346175</v>
      </c>
      <c r="C12" s="127">
        <f>'Amortization of Power Contract'!$C$35/3</f>
        <v>9602.8202017346175</v>
      </c>
      <c r="D12" s="127">
        <f>'Amortization of Power Contract'!$C$35/3</f>
        <v>9602.8202017346175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28808.460605203851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7"/>
      <c r="AC13" s="17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17"/>
      <c r="P14" s="417"/>
      <c r="Q14" s="417"/>
      <c r="R14" s="417"/>
      <c r="S14" s="417"/>
      <c r="T14" s="417"/>
      <c r="U14" s="417"/>
      <c r="W14" s="91"/>
      <c r="X14" s="16"/>
      <c r="Y14" s="16"/>
      <c r="Z14" s="16"/>
      <c r="AA14" s="16"/>
      <c r="AB14" s="17"/>
      <c r="AC14" s="17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Assumption'!F40*Assumptions!$H$9*12</f>
        <v>38186.125205806944</v>
      </c>
      <c r="F15" s="19">
        <f>'Power Price Assumption'!G40*Assumptions!$H$9*12</f>
        <v>40210.726030066122</v>
      </c>
      <c r="G15" s="19">
        <f>'Power Price Assumption'!H40*Assumptions!$H$9*12</f>
        <v>41027.476548845225</v>
      </c>
      <c r="H15" s="19">
        <f>'Power Price Assumption'!I40*Assumptions!$H$9*12</f>
        <v>41860.816706155776</v>
      </c>
      <c r="I15" s="19">
        <f>'Power Price Assumption'!J40*Assumptions!$H$9*12</f>
        <v>42711.083466713768</v>
      </c>
      <c r="J15" s="19">
        <f>'Power Price Assumption'!K40*Assumptions!$H$9*12</f>
        <v>43578.620639580855</v>
      </c>
      <c r="K15" s="19">
        <f>'Power Price Assumption'!L40*Assumptions!$H$9*12</f>
        <v>44463.779017184934</v>
      </c>
      <c r="L15" s="19">
        <f>'Power Price Assumption'!M40*Assumptions!$H$9*12</f>
        <v>45033.969458996071</v>
      </c>
      <c r="M15" s="19">
        <f>'Power Price Assumption'!N40*Assumptions!$H$9*12</f>
        <v>45611.471855551499</v>
      </c>
      <c r="N15" s="19">
        <f>'Power Price Assumption'!O40*Assumptions!$H$9*12</f>
        <v>46196.379973211093</v>
      </c>
      <c r="O15" s="19">
        <f>'Power Price Assumption'!P40*Assumptions!$H$9*12</f>
        <v>46788.788780767012</v>
      </c>
      <c r="P15" s="19">
        <f>'Power Price Assumption'!Q40*Assumptions!$H$9*12</f>
        <v>47388.794464863364</v>
      </c>
      <c r="Q15" s="19">
        <f>'Power Price Assumption'!R40*Assumptions!$H$9*12</f>
        <v>48105.317812997419</v>
      </c>
      <c r="R15" s="19">
        <f>'Power Price Assumption'!S40*Assumptions!$H$9*12</f>
        <v>48832.675066366217</v>
      </c>
      <c r="S15" s="19">
        <f>'Power Price Assumption'!T40*Assumptions!$H$9*12</f>
        <v>49571.030034708747</v>
      </c>
      <c r="T15" s="19">
        <f>'Power Price Assumption'!U40*Assumptions!$H$9*12</f>
        <v>50320.549004583765</v>
      </c>
      <c r="U15" s="19">
        <f>'Power Price Assumption'!V40*Assumptions!$H$9*12</f>
        <v>51081.400776819544</v>
      </c>
      <c r="W15" s="91">
        <f>SUM(B15:U15)</f>
        <v>770969.00484321837</v>
      </c>
      <c r="X15" s="16"/>
      <c r="Y15" s="16"/>
      <c r="Z15" s="16"/>
      <c r="AA15" s="16"/>
      <c r="AB15" s="17"/>
      <c r="AC15" s="17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1/3*Assumptions!$H$18*Assumptions!$H$11*Assumptions!$H$8/1000*(1+Assumptions!$H$25)^(E5-2000)+Assumptions!$H$19*Assumptions!$H$17*(1+Assumptions!$H$25)^(E5-2000)/1000</f>
        <v>1726.4609193427605</v>
      </c>
      <c r="F16" s="127">
        <f>1/3*Assumptions!$H$18*Assumptions!$H$11*Assumptions!$H$8/1000*(1+Assumptions!$H$25)^(F5-2000)+Assumptions!$H$19*Assumptions!$H$17*(1+Assumptions!$H$25)^(F5-2000)/1000</f>
        <v>1778.2547469230433</v>
      </c>
      <c r="G16" s="127">
        <f>1/3*Assumptions!$H$18*Assumptions!$H$11*Assumptions!$H$8/1000*(1+Assumptions!$H$25)^(G5-2000)+Assumptions!$H$19*Assumptions!$H$17*(1+Assumptions!$H$25)^(G5-2000)/1000</f>
        <v>1831.6023893307347</v>
      </c>
      <c r="H16" s="127">
        <f>1/3*Assumptions!$H$18*Assumptions!$H$11*Assumptions!$H$8/1000*(1+Assumptions!$H$25)^(H5-2000)+Assumptions!$H$19*Assumptions!$H$17*(1+Assumptions!$H$25)^(H5-2000)/1000</f>
        <v>1886.5504610106568</v>
      </c>
      <c r="I16" s="127">
        <f>1/3*Assumptions!$H$18*Assumptions!$H$11*Assumptions!$H$8/1000*(1+Assumptions!$H$25)^(I5-2000)+Assumptions!$H$19*Assumptions!$H$17*(1+Assumptions!$H$25)^(I5-2000)/1000</f>
        <v>1943.1469748409763</v>
      </c>
      <c r="J16" s="127">
        <f>1/3*Assumptions!$H$18*Assumptions!$H$11*Assumptions!$H$8/1000*(1+Assumptions!$H$25)^(J5-2000)+Assumptions!$H$19*Assumptions!$H$17*(1+Assumptions!$H$25)^(J5-2000)/1000</f>
        <v>2001.441384086206</v>
      </c>
      <c r="K16" s="127">
        <f>1/3*Assumptions!$H$18*Assumptions!$H$11*Assumptions!$H$8/1000*(1+Assumptions!$H$25)^(K5-2000)+Assumptions!$H$19*Assumptions!$H$17*(1+Assumptions!$H$25)^(K5-2000)/1000</f>
        <v>2061.4846256087922</v>
      </c>
      <c r="L16" s="127">
        <f>1/3*Assumptions!$H$18*Assumptions!$H$11*Assumptions!$H$8/1000*(1+Assumptions!$H$25)^(L5-2000)+Assumptions!$H$19*Assumptions!$H$17*(1+Assumptions!$H$25)^(L5-2000)/1000</f>
        <v>2123.3291643770558</v>
      </c>
      <c r="M16" s="127">
        <f>1/3*Assumptions!$H$18*Assumptions!$H$11*Assumptions!$H$8/1000*(1+Assumptions!$H$25)^(M5-2000)+Assumptions!$H$19*Assumptions!$H$17*(1+Assumptions!$H$25)^(M5-2000)/1000</f>
        <v>2187.0290393083674</v>
      </c>
      <c r="N16" s="127">
        <f>1/3*Assumptions!$H$18*Assumptions!$H$11*Assumptions!$H$8/1000*(1+Assumptions!$H$25)^(N5-2000)+Assumptions!$H$19*Assumptions!$H$17*(1+Assumptions!$H$25)^(N5-2000)/1000</f>
        <v>2252.6399104876177</v>
      </c>
      <c r="O16" s="127">
        <f>1/3*Assumptions!$H$18*Assumptions!$H$11*Assumptions!$H$8/1000*(1+Assumptions!$H$25)^(O5-2000)+Assumptions!$H$19*Assumptions!$H$17*(1+Assumptions!$H$25)^(O5-2000)/1000</f>
        <v>2320.219107802247</v>
      </c>
      <c r="P16" s="127">
        <f>1/3*Assumptions!$H$18*Assumptions!$H$11*Assumptions!$H$8/1000*(1+Assumptions!$H$25)^(P5-2000)+Assumptions!$H$19*Assumptions!$H$17*(1+Assumptions!$H$25)^(P5-2000)/1000</f>
        <v>2389.8256810363146</v>
      </c>
      <c r="Q16" s="127">
        <f>1/3*Assumptions!$H$18*Assumptions!$H$11*Assumptions!$H$8/1000*(1+Assumptions!$H$25)^(Q5-2000)+Assumptions!$H$19*Assumptions!$H$17*(1+Assumptions!$H$25)^(Q5-2000)/1000</f>
        <v>2461.5204514674033</v>
      </c>
      <c r="R16" s="127">
        <f>1/3*Assumptions!$H$18*Assumptions!$H$11*Assumptions!$H$8/1000*(1+Assumptions!$H$25)^(R5-2000)+Assumptions!$H$19*Assumptions!$H$17*(1+Assumptions!$H$25)^(R5-2000)/1000</f>
        <v>2535.3660650114257</v>
      </c>
      <c r="S16" s="127">
        <f>1/3*Assumptions!$H$18*Assumptions!$H$11*Assumptions!$H$8/1000*(1+Assumptions!$H$25)^(S5-2000)+Assumptions!$H$19*Assumptions!$H$17*(1+Assumptions!$H$25)^(S5-2000)/1000</f>
        <v>2611.4270469617682</v>
      </c>
      <c r="T16" s="127">
        <f>1/3*Assumptions!$H$18*Assumptions!$H$11*Assumptions!$H$8/1000*(1+Assumptions!$H$25)^(T5-2000)+Assumptions!$H$19*Assumptions!$H$17*(1+Assumptions!$H$25)^(T5-2000)/1000</f>
        <v>2689.7698583706215</v>
      </c>
      <c r="U16" s="127">
        <f>1/3*Assumptions!$H$18*Assumptions!$H$11*Assumptions!$H$8/1000*(1+Assumptions!$H$25)^(U5-2000)+Assumptions!$H$19*Assumptions!$H$17*(1+Assumptions!$H$25)^(U5-2000)/1000</f>
        <v>2770.4629541217396</v>
      </c>
      <c r="W16" s="91">
        <f>SUM(B16:U16)</f>
        <v>37570.530780087734</v>
      </c>
      <c r="X16" s="16"/>
      <c r="Y16" s="16"/>
      <c r="Z16" s="16"/>
      <c r="AA16" s="16"/>
      <c r="AB16" s="17"/>
      <c r="AC16" s="17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7"/>
      <c r="AC17" s="17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258.54100325000002</v>
      </c>
      <c r="C18" s="198">
        <f>(SUM(C9:C11)-SUM(C22:C27))*'Summary Output'!$B$29/4</f>
        <v>256.36239584749995</v>
      </c>
      <c r="D18" s="198">
        <f>(SUM(D9:D11)-SUM(D22:D27))*'Summary Output'!$B$29/4</f>
        <v>254.40181284792499</v>
      </c>
      <c r="E18" s="198">
        <f>(SUM(E9:E16)-SUM(E22:E27))*'Summary Output'!$B$29/4</f>
        <v>443.77181539344957</v>
      </c>
      <c r="F18" s="198">
        <f>(SUM(F9:F16)-SUM(F22:F27))*'Summary Output'!$B$29/4</f>
        <v>467.55535258131516</v>
      </c>
      <c r="G18" s="198">
        <f>(SUM(G9:G16)-SUM(G22:G27))*'Summary Output'!$B$29/4</f>
        <v>475.31214150721866</v>
      </c>
      <c r="H18" s="198">
        <f>(SUM(H9:H16)-SUM(H22:H27))*'Summary Output'!$B$29/4</f>
        <v>482.62367538800009</v>
      </c>
      <c r="I18" s="198">
        <f>(SUM(I9:I16)-SUM(I22:I27))*'Summary Output'!$B$29/4</f>
        <v>490.87114851680656</v>
      </c>
      <c r="J18" s="198">
        <f>(SUM(J9:J16)-SUM(J22:J27))*'Summary Output'!$B$29/4</f>
        <v>500.55645333313169</v>
      </c>
      <c r="K18" s="198">
        <f>(SUM(K9:K16)-SUM(K22:K27))*'Summary Output'!$B$29/4</f>
        <v>511.40815641333387</v>
      </c>
      <c r="L18" s="198">
        <f>(SUM(L9:L16)-SUM(L22:L27))*'Summary Output'!$B$29/4</f>
        <v>515.52764874692878</v>
      </c>
      <c r="M18" s="198">
        <f>(SUM(M9:M16)-SUM(M22:M27))*'Summary Output'!$B$29/4</f>
        <v>521.64530699415593</v>
      </c>
      <c r="N18" s="198">
        <f>(SUM(N9:N16)-SUM(N22:N27))*'Summary Output'!$B$29/4</f>
        <v>527.8220782288937</v>
      </c>
      <c r="O18" s="198">
        <f>(SUM(O9:O16)-SUM(O22:O27))*'Summary Output'!$B$29/4</f>
        <v>534.05857068025523</v>
      </c>
      <c r="P18" s="198">
        <f>(SUM(P9:P16)-SUM(P22:P27))*'Summary Output'!$B$29/4</f>
        <v>540.3549655590798</v>
      </c>
      <c r="Q18" s="198">
        <f>(SUM(Q9:Q16)-SUM(Q22:Q27))*'Summary Output'!$B$29/4</f>
        <v>548.07172095320402</v>
      </c>
      <c r="R18" s="198">
        <f>(SUM(R9:R16)-SUM(R22:R27))*'Summary Output'!$B$29/4</f>
        <v>555.88670656903605</v>
      </c>
      <c r="S18" s="198">
        <f>(SUM(S9:S16)-SUM(S22:S27))*'Summary Output'!$B$29/4</f>
        <v>563.80085422050149</v>
      </c>
      <c r="T18" s="198">
        <f>(SUM(T9:T16)-SUM(T22:T27))*'Summary Output'!$B$29/4</f>
        <v>571.81509320753855</v>
      </c>
      <c r="U18" s="198">
        <f>(SUM(U9:U16)-SUM(U22:U27))*'Summary Output'!$B$29/4</f>
        <v>579.93034977999287</v>
      </c>
      <c r="W18" s="91">
        <f>SUM(B18:U18)</f>
        <v>9600.3172500182663</v>
      </c>
      <c r="X18" s="16"/>
      <c r="Y18" s="16"/>
      <c r="Z18" s="16"/>
      <c r="AA18" s="16"/>
      <c r="AB18" s="17"/>
      <c r="AC18" s="17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34310.317515520335</v>
      </c>
      <c r="C19" s="56">
        <f t="shared" ref="C19:U19" si="4">SUM(C9:C18)</f>
        <v>34364.807597433901</v>
      </c>
      <c r="D19" s="56">
        <f t="shared" si="4"/>
        <v>34421.215764429879</v>
      </c>
      <c r="E19" s="56">
        <f t="shared" si="4"/>
        <v>40356.357940543152</v>
      </c>
      <c r="F19" s="56">
        <f t="shared" si="4"/>
        <v>42456.536129570479</v>
      </c>
      <c r="G19" s="56">
        <f t="shared" si="4"/>
        <v>43334.391079683177</v>
      </c>
      <c r="H19" s="56">
        <f t="shared" si="4"/>
        <v>44229.990842554434</v>
      </c>
      <c r="I19" s="56">
        <f t="shared" si="4"/>
        <v>45145.10159007155</v>
      </c>
      <c r="J19" s="56">
        <f t="shared" si="4"/>
        <v>46080.618477000193</v>
      </c>
      <c r="K19" s="56">
        <f t="shared" si="4"/>
        <v>47036.671799207055</v>
      </c>
      <c r="L19" s="56">
        <f t="shared" si="4"/>
        <v>47672.826272120059</v>
      </c>
      <c r="M19" s="56">
        <f t="shared" si="4"/>
        <v>48320.146201854026</v>
      </c>
      <c r="N19" s="56">
        <f t="shared" si="4"/>
        <v>48976.841961927603</v>
      </c>
      <c r="O19" s="56">
        <f t="shared" si="4"/>
        <v>49643.066459249509</v>
      </c>
      <c r="P19" s="56">
        <f t="shared" si="4"/>
        <v>50318.975111458763</v>
      </c>
      <c r="Q19" s="56">
        <f t="shared" si="4"/>
        <v>51114.909985418024</v>
      </c>
      <c r="R19" s="56">
        <f t="shared" si="4"/>
        <v>51923.927837946678</v>
      </c>
      <c r="S19" s="56">
        <f t="shared" si="4"/>
        <v>52746.257935891015</v>
      </c>
      <c r="T19" s="56">
        <f t="shared" si="4"/>
        <v>53582.133956161924</v>
      </c>
      <c r="U19" s="56">
        <f t="shared" si="4"/>
        <v>54431.794080721273</v>
      </c>
      <c r="W19" s="91">
        <f>SUM(B19:U19)</f>
        <v>920466.88853876316</v>
      </c>
      <c r="X19" s="16"/>
      <c r="Y19" s="16"/>
      <c r="Z19" s="16"/>
      <c r="AA19" s="16"/>
      <c r="AB19" s="17"/>
      <c r="AC19" s="17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Assumptions!H28*(1+Assumptions!$H$25)</f>
        <v>1561.2639942857145</v>
      </c>
      <c r="C22" s="91">
        <f>B22*(1+Assumptions!$H$25)</f>
        <v>1608.101914114286</v>
      </c>
      <c r="D22" s="91">
        <f>C22*(1+Assumptions!$H$25)</f>
        <v>1656.3449715377146</v>
      </c>
      <c r="E22" s="91">
        <f>D22*(1+Assumptions!$H$25)</f>
        <v>1706.0353206838461</v>
      </c>
      <c r="F22" s="91">
        <f>E22*(1+Assumptions!$H$25)</f>
        <v>1757.2163803043616</v>
      </c>
      <c r="G22" s="91">
        <f>F22*(1+Assumptions!$H$25)</f>
        <v>1809.9328717134924</v>
      </c>
      <c r="H22" s="91">
        <f>G22*(1+Assumptions!$H$25)</f>
        <v>1864.2308578648972</v>
      </c>
      <c r="I22" s="91">
        <f>H22*(1+Assumptions!$H$25)</f>
        <v>1920.1577836008441</v>
      </c>
      <c r="J22" s="91">
        <f>I22*(1+Assumptions!$H$25)</f>
        <v>1977.7625171088696</v>
      </c>
      <c r="K22" s="91">
        <f>J22*(1+Assumptions!$H$25)</f>
        <v>2037.0953926221357</v>
      </c>
      <c r="L22" s="91">
        <f>K22*(1+Assumptions!$H$25)</f>
        <v>2098.2082544007999</v>
      </c>
      <c r="M22" s="91">
        <f>L22*(1+Assumptions!$H$25)</f>
        <v>2161.154502032824</v>
      </c>
      <c r="N22" s="91">
        <f>M22*(1+Assumptions!$H$25)</f>
        <v>2225.9891370938089</v>
      </c>
      <c r="O22" s="91">
        <f>N22*(1+Assumptions!$H$25)</f>
        <v>2292.7688112066235</v>
      </c>
      <c r="P22" s="91">
        <f>O22*(1+Assumptions!$H$25)</f>
        <v>2361.551875542822</v>
      </c>
      <c r="Q22" s="91">
        <f>P22*(1+Assumptions!$H$25)</f>
        <v>2432.3984318091066</v>
      </c>
      <c r="R22" s="91">
        <f>Q22*(1+Assumptions!$H$25)</f>
        <v>2505.3703847633797</v>
      </c>
      <c r="S22" s="91">
        <f>R22*(1+Assumptions!$H$25)</f>
        <v>2580.531496306281</v>
      </c>
      <c r="T22" s="91">
        <f>S22*(1+Assumptions!$H$25)</f>
        <v>2657.9474411954698</v>
      </c>
      <c r="U22" s="91">
        <f>T22*(1+Assumptions!$H$25)</f>
        <v>2737.6858644313338</v>
      </c>
      <c r="W22" s="91">
        <f t="shared" ref="W22:W28" si="5">SUM(B22:U22)</f>
        <v>41951.748202618604</v>
      </c>
    </row>
    <row r="23" spans="1:55">
      <c r="A23" s="3" t="s">
        <v>49</v>
      </c>
      <c r="B23" s="127">
        <f>Assumptions!$H$29*(1+Assumptions!$H$25)</f>
        <v>1425.4563105357156</v>
      </c>
      <c r="C23" s="56">
        <f>B23*(1+Assumptions!$H$25)</f>
        <v>1468.2199998517872</v>
      </c>
      <c r="D23" s="56">
        <f>C23*(1+Assumptions!$H$25)</f>
        <v>1512.2665998473408</v>
      </c>
      <c r="E23" s="127">
        <f>Assumptions!$H$19*Assumptions!$H$23*(1+Assumptions!$H$25)^(E5-2000)/1000</f>
        <v>1557.6345978427605</v>
      </c>
      <c r="F23" s="127">
        <f>Assumptions!$H$19*Assumptions!$H$23*(1+Assumptions!$H$25)^(F5-2000)/1000</f>
        <v>1604.3636357780433</v>
      </c>
      <c r="G23" s="127">
        <f>Assumptions!$H$19*Assumptions!$H$23*(1+Assumptions!$H$25)^(G5-2000)/1000</f>
        <v>1652.4945448513847</v>
      </c>
      <c r="H23" s="127">
        <f>Assumptions!$H$19*Assumptions!$H$23*(1+Assumptions!$H$25)^(H5-2000)/1000</f>
        <v>1702.0693811969263</v>
      </c>
      <c r="I23" s="127">
        <f>Assumptions!$H$19*Assumptions!$H$23*(1+Assumptions!$H$25)^(I5-2000)/1000</f>
        <v>1753.131462632834</v>
      </c>
      <c r="J23" s="127">
        <f>Assumptions!$H$19*Assumptions!$H$23*(1+Assumptions!$H$25)^(J5-2000)/1000</f>
        <v>1805.7254065118193</v>
      </c>
      <c r="K23" s="127">
        <f>Assumptions!$H$19*Assumptions!$H$23*(1+Assumptions!$H$25)^(K5-2000)/1000</f>
        <v>1859.8971687071737</v>
      </c>
      <c r="L23" s="127">
        <f>Assumptions!$H$19*Assumptions!$H$23*(1+Assumptions!$H$25)^(L5-2000)/1000</f>
        <v>1915.694083768389</v>
      </c>
      <c r="M23" s="127">
        <f>Assumptions!$H$19*Assumptions!$H$23*(1+Assumptions!$H$25)^(M5-2000)/1000</f>
        <v>1973.1649062814404</v>
      </c>
      <c r="N23" s="127">
        <f>Assumptions!$H$19*Assumptions!$H$23*(1+Assumptions!$H$25)^(N5-2000)/1000</f>
        <v>2032.3598534698833</v>
      </c>
      <c r="O23" s="127">
        <f>Assumptions!$H$19*Assumptions!$H$23*(1+Assumptions!$H$25)^(O5-2000)/1000</f>
        <v>2093.3306490739801</v>
      </c>
      <c r="P23" s="127">
        <f>Assumptions!$H$19*Assumptions!$H$23*(1+Assumptions!$H$25)^(P5-2000)/1000</f>
        <v>2156.1305685461998</v>
      </c>
      <c r="Q23" s="127">
        <f>Assumptions!$H$19*Assumptions!$H$23*(1+Assumptions!$H$25)^(Q5-2000)/1000</f>
        <v>2220.8144856025851</v>
      </c>
      <c r="R23" s="127">
        <f>Assumptions!$H$19*Assumptions!$H$23*(1+Assumptions!$H$25)^(R5-2000)/1000</f>
        <v>2287.4389201706631</v>
      </c>
      <c r="S23" s="127">
        <f>Assumptions!$H$19*Assumptions!$H$23*(1+Assumptions!$H$25)^(S5-2000)/1000</f>
        <v>2356.0620877757829</v>
      </c>
      <c r="T23" s="127">
        <f>Assumptions!$H$19*Assumptions!$H$23*(1+Assumptions!$H$25)^(T5-2000)/1000</f>
        <v>2426.7439504090562</v>
      </c>
      <c r="U23" s="127">
        <f>Assumptions!$H$19*Assumptions!$H$23*(1+Assumptions!$H$25)^(U5-2000)/1000</f>
        <v>2499.5462689213277</v>
      </c>
      <c r="W23" s="91">
        <f t="shared" si="5"/>
        <v>38302.544881775102</v>
      </c>
    </row>
    <row r="24" spans="1:55">
      <c r="A24" s="3" t="s">
        <v>256</v>
      </c>
      <c r="B24" s="127">
        <f>Assumptions!$H$24*Assumptions!$H$11*Assumptions!$H$8/1000*(1+Assumptions!$H$25)</f>
        <v>463.5</v>
      </c>
      <c r="C24" s="91">
        <f>B24*(1+Assumptions!$H$25)</f>
        <v>477.40500000000003</v>
      </c>
      <c r="D24" s="91">
        <f>C24*(1+Assumptions!$H$25)</f>
        <v>491.72715000000005</v>
      </c>
      <c r="E24" s="91">
        <f>D24*(1+Assumptions!$H$25)</f>
        <v>506.47896450000007</v>
      </c>
      <c r="F24" s="91">
        <f>E24*(1+Assumptions!$H$25)</f>
        <v>521.67333343500013</v>
      </c>
      <c r="G24" s="91">
        <f>F24*(1+Assumptions!$H$25)</f>
        <v>537.32353343805016</v>
      </c>
      <c r="H24" s="91">
        <f>G24*(1+Assumptions!$H$25)</f>
        <v>553.44323944119174</v>
      </c>
      <c r="I24" s="91">
        <f>H24*(1+Assumptions!$H$25)</f>
        <v>570.04653662442752</v>
      </c>
      <c r="J24" s="91">
        <f>I24*(1+Assumptions!$H$25)</f>
        <v>587.14793272316035</v>
      </c>
      <c r="K24" s="91">
        <f>J24*(1+Assumptions!$H$25)</f>
        <v>604.76237070485513</v>
      </c>
      <c r="L24" s="91">
        <f>K24*(1+Assumptions!$H$25)</f>
        <v>622.90524182600075</v>
      </c>
      <c r="M24" s="91">
        <f>L24*(1+Assumptions!$H$25)</f>
        <v>641.59239908078075</v>
      </c>
      <c r="N24" s="91">
        <f>M24*(1+Assumptions!$H$25)</f>
        <v>660.84017105320424</v>
      </c>
      <c r="O24" s="91">
        <f>N24*(1+Assumptions!$H$25)</f>
        <v>680.66537618480038</v>
      </c>
      <c r="P24" s="91">
        <f>O24*(1+Assumptions!$H$25)</f>
        <v>701.08533747034437</v>
      </c>
      <c r="Q24" s="91">
        <f>P24*(1+Assumptions!$H$25)</f>
        <v>722.11789759445469</v>
      </c>
      <c r="R24" s="91">
        <f>Q24*(1+Assumptions!$H$25)</f>
        <v>743.78143452228835</v>
      </c>
      <c r="S24" s="91">
        <f>R24*(1+Assumptions!$H$25)</f>
        <v>766.09487755795703</v>
      </c>
      <c r="T24" s="91">
        <f>S24*(1+Assumptions!$H$25)</f>
        <v>789.07772388469573</v>
      </c>
      <c r="U24" s="91">
        <f>T24*(1+Assumptions!$H$25)</f>
        <v>812.75005560123657</v>
      </c>
      <c r="W24" s="91">
        <f t="shared" si="5"/>
        <v>12454.418575642445</v>
      </c>
    </row>
    <row r="25" spans="1:55">
      <c r="A25" s="3" t="s">
        <v>112</v>
      </c>
      <c r="B25" s="127">
        <f>Assumptions!H31*(1+Assumptions!$H$25)</f>
        <v>315.45574571428568</v>
      </c>
      <c r="C25" s="91">
        <f>B25*(1+Assumptions!$H$25)</f>
        <v>324.91941808571426</v>
      </c>
      <c r="D25" s="91">
        <f>C25*(1+Assumptions!$H$25)</f>
        <v>334.66700062828568</v>
      </c>
      <c r="E25" s="91">
        <f>D25*(1+Assumptions!$H$25)</f>
        <v>344.70701064713427</v>
      </c>
      <c r="F25" s="91">
        <f>E25*(1+Assumptions!$H$25)</f>
        <v>355.04822096654829</v>
      </c>
      <c r="G25" s="91">
        <f>F25*(1+Assumptions!$H$25)</f>
        <v>365.69966759554472</v>
      </c>
      <c r="H25" s="91">
        <f>G25*(1+Assumptions!$H$25)</f>
        <v>376.6706576234111</v>
      </c>
      <c r="I25" s="91">
        <f>H25*(1+Assumptions!$H$25)</f>
        <v>387.97077735211343</v>
      </c>
      <c r="J25" s="91">
        <f>I25*(1+Assumptions!$H$25)</f>
        <v>399.60990067267682</v>
      </c>
      <c r="K25" s="91">
        <f>J25*(1+Assumptions!$H$25)</f>
        <v>411.59819769285713</v>
      </c>
      <c r="L25" s="91">
        <f>K25*(1+Assumptions!$H$25)</f>
        <v>423.94614362364285</v>
      </c>
      <c r="M25" s="91">
        <f>L25*(1+Assumptions!$H$25)</f>
        <v>436.66452793235214</v>
      </c>
      <c r="N25" s="91">
        <f>M25*(1+Assumptions!$H$25)</f>
        <v>449.76446377032272</v>
      </c>
      <c r="O25" s="91">
        <f>N25*(1+Assumptions!$H$25)</f>
        <v>463.25739768343243</v>
      </c>
      <c r="P25" s="91">
        <f>O25*(1+Assumptions!$H$25)</f>
        <v>477.15511961393543</v>
      </c>
      <c r="Q25" s="91">
        <f>P25*(1+Assumptions!$H$25)</f>
        <v>491.46977320235351</v>
      </c>
      <c r="R25" s="91">
        <f>Q25*(1+Assumptions!$H$25)</f>
        <v>506.2138663984241</v>
      </c>
      <c r="S25" s="91">
        <f>R25*(1+Assumptions!$H$25)</f>
        <v>521.40028239037679</v>
      </c>
      <c r="T25" s="91">
        <f>S25*(1+Assumptions!$H$25)</f>
        <v>537.04229086208807</v>
      </c>
      <c r="U25" s="91">
        <f>T25*(1+Assumptions!$H$25)</f>
        <v>553.15355958795067</v>
      </c>
      <c r="W25" s="91">
        <f t="shared" si="5"/>
        <v>8476.4140220434492</v>
      </c>
    </row>
    <row r="26" spans="1:55">
      <c r="A26" s="3" t="s">
        <v>189</v>
      </c>
      <c r="B26" s="456">
        <v>0</v>
      </c>
      <c r="C26" s="456">
        <v>117.98699999999999</v>
      </c>
      <c r="D26" s="456">
        <v>216.84299999999999</v>
      </c>
      <c r="E26" s="456">
        <v>295.98500000000001</v>
      </c>
      <c r="F26" s="456">
        <v>346.25099999999998</v>
      </c>
      <c r="G26" s="456">
        <v>468.65699999999998</v>
      </c>
      <c r="H26" s="456">
        <v>641.05899999999997</v>
      </c>
      <c r="I26" s="456">
        <v>753.23199999999997</v>
      </c>
      <c r="J26" s="456">
        <v>765.3</v>
      </c>
      <c r="K26" s="456">
        <v>699.25800000000004</v>
      </c>
      <c r="L26" s="456">
        <v>854.33299999999997</v>
      </c>
      <c r="M26" s="456">
        <v>854.3</v>
      </c>
      <c r="N26" s="456">
        <v>854.3</v>
      </c>
      <c r="O26" s="456">
        <v>854.3</v>
      </c>
      <c r="P26" s="456">
        <v>854.3</v>
      </c>
      <c r="Q26" s="456">
        <v>854.3</v>
      </c>
      <c r="R26" s="456">
        <v>854.3</v>
      </c>
      <c r="S26" s="456">
        <v>854.3</v>
      </c>
      <c r="T26" s="456">
        <v>854.3</v>
      </c>
      <c r="U26" s="456">
        <v>854.3</v>
      </c>
      <c r="W26" s="91">
        <f t="shared" si="5"/>
        <v>12847.604999999996</v>
      </c>
    </row>
    <row r="27" spans="1:55" s="16" customFormat="1">
      <c r="A27" s="3" t="s">
        <v>185</v>
      </c>
      <c r="B27" s="146">
        <v>0</v>
      </c>
      <c r="C27" s="146">
        <v>0</v>
      </c>
      <c r="D27" s="146">
        <v>0</v>
      </c>
      <c r="E27" s="146">
        <v>0</v>
      </c>
      <c r="F27" s="146">
        <v>0</v>
      </c>
      <c r="G27" s="146">
        <v>0</v>
      </c>
      <c r="H27" s="146">
        <v>0</v>
      </c>
      <c r="I27" s="146">
        <v>0</v>
      </c>
      <c r="J27" s="146">
        <v>0</v>
      </c>
      <c r="K27" s="146">
        <v>0</v>
      </c>
      <c r="L27" s="146">
        <v>0</v>
      </c>
      <c r="M27" s="146">
        <v>0</v>
      </c>
      <c r="N27" s="146">
        <v>0</v>
      </c>
      <c r="O27" s="146">
        <v>0</v>
      </c>
      <c r="P27" s="146">
        <v>0</v>
      </c>
      <c r="Q27" s="146">
        <v>0</v>
      </c>
      <c r="R27" s="146">
        <v>0</v>
      </c>
      <c r="S27" s="146">
        <v>0</v>
      </c>
      <c r="T27" s="146">
        <v>0</v>
      </c>
      <c r="U27" s="146">
        <v>0</v>
      </c>
      <c r="V27" s="91"/>
      <c r="W27" s="91">
        <f t="shared" si="5"/>
        <v>0</v>
      </c>
      <c r="AB27" s="17"/>
      <c r="AC27" s="17"/>
    </row>
    <row r="28" spans="1:55" ht="12" customHeight="1">
      <c r="A28" s="3" t="s">
        <v>62</v>
      </c>
      <c r="B28" s="127">
        <f t="shared" ref="B28:U28" si="6">SUM(B22:B27)</f>
        <v>3765.6760505357156</v>
      </c>
      <c r="C28" s="127">
        <f t="shared" si="6"/>
        <v>3996.6333320517879</v>
      </c>
      <c r="D28" s="127">
        <f t="shared" si="6"/>
        <v>4211.8487220133411</v>
      </c>
      <c r="E28" s="127">
        <f t="shared" si="6"/>
        <v>4410.8408936737405</v>
      </c>
      <c r="F28" s="127">
        <f t="shared" si="6"/>
        <v>4584.5525704839529</v>
      </c>
      <c r="G28" s="127">
        <f t="shared" si="6"/>
        <v>4834.1076175984717</v>
      </c>
      <c r="H28" s="127">
        <f t="shared" si="6"/>
        <v>5137.4731361264267</v>
      </c>
      <c r="I28" s="127">
        <f t="shared" si="6"/>
        <v>5384.5385602102187</v>
      </c>
      <c r="J28" s="127">
        <f t="shared" si="6"/>
        <v>5535.5457570165263</v>
      </c>
      <c r="K28" s="127">
        <f t="shared" si="6"/>
        <v>5612.6111297270209</v>
      </c>
      <c r="L28" s="127">
        <f t="shared" si="6"/>
        <v>5915.0867236188315</v>
      </c>
      <c r="M28" s="127">
        <f t="shared" si="6"/>
        <v>6066.8763353273971</v>
      </c>
      <c r="N28" s="127">
        <f t="shared" si="6"/>
        <v>6223.2536253872195</v>
      </c>
      <c r="O28" s="127">
        <f t="shared" si="6"/>
        <v>6384.3222341488372</v>
      </c>
      <c r="P28" s="127">
        <f t="shared" si="6"/>
        <v>6550.2229011733016</v>
      </c>
      <c r="Q28" s="127">
        <f t="shared" si="6"/>
        <v>6721.1005882085001</v>
      </c>
      <c r="R28" s="127">
        <f t="shared" si="6"/>
        <v>6897.1046058547554</v>
      </c>
      <c r="S28" s="127">
        <f t="shared" si="6"/>
        <v>7078.3887440303979</v>
      </c>
      <c r="T28" s="127">
        <f t="shared" si="6"/>
        <v>7265.1114063513096</v>
      </c>
      <c r="U28" s="127">
        <f t="shared" si="6"/>
        <v>7457.4357485418486</v>
      </c>
      <c r="W28" s="91">
        <f t="shared" si="5"/>
        <v>114032.73068207959</v>
      </c>
    </row>
    <row r="29" spans="1:55" s="62" customFormat="1" outlineLevel="1">
      <c r="A29" s="5"/>
      <c r="B29" s="143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20">
        <f t="shared" ref="B31:U31" si="7">B19-B28</f>
        <v>30544.641464984619</v>
      </c>
      <c r="C31" s="120">
        <f t="shared" si="7"/>
        <v>30368.174265382113</v>
      </c>
      <c r="D31" s="120">
        <f t="shared" si="7"/>
        <v>30209.367042416539</v>
      </c>
      <c r="E31" s="120">
        <f t="shared" si="7"/>
        <v>35945.517046869412</v>
      </c>
      <c r="F31" s="120">
        <f t="shared" si="7"/>
        <v>37871.983559086526</v>
      </c>
      <c r="G31" s="120">
        <f t="shared" si="7"/>
        <v>38500.283462084706</v>
      </c>
      <c r="H31" s="120">
        <f t="shared" si="7"/>
        <v>39092.517706428007</v>
      </c>
      <c r="I31" s="120">
        <f t="shared" si="7"/>
        <v>39760.563029861332</v>
      </c>
      <c r="J31" s="120">
        <f t="shared" si="7"/>
        <v>40545.072719983669</v>
      </c>
      <c r="K31" s="120">
        <f t="shared" si="7"/>
        <v>41424.060669480037</v>
      </c>
      <c r="L31" s="120">
        <f t="shared" si="7"/>
        <v>41757.739548501224</v>
      </c>
      <c r="M31" s="120">
        <f t="shared" si="7"/>
        <v>42253.269866526629</v>
      </c>
      <c r="N31" s="120">
        <f t="shared" si="7"/>
        <v>42753.588336540386</v>
      </c>
      <c r="O31" s="120">
        <f t="shared" si="7"/>
        <v>43258.744225100672</v>
      </c>
      <c r="P31" s="120">
        <f t="shared" si="7"/>
        <v>43768.752210285464</v>
      </c>
      <c r="Q31" s="120">
        <f t="shared" si="7"/>
        <v>44393.809397209523</v>
      </c>
      <c r="R31" s="120">
        <f t="shared" si="7"/>
        <v>45026.82323209192</v>
      </c>
      <c r="S31" s="120">
        <f t="shared" si="7"/>
        <v>45667.86919186062</v>
      </c>
      <c r="T31" s="120">
        <f t="shared" si="7"/>
        <v>46317.022549810616</v>
      </c>
      <c r="U31" s="120">
        <f t="shared" si="7"/>
        <v>46974.358332179421</v>
      </c>
      <c r="W31" s="91">
        <f>SUM(B31:U31)</f>
        <v>806434.15785668348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Depreciation!C45</f>
        <v>7011.6877311229173</v>
      </c>
      <c r="C33" s="127">
        <f>Depreciation!D45</f>
        <v>7011.6877311229173</v>
      </c>
      <c r="D33" s="127">
        <f>Depreciation!E45</f>
        <v>7011.6877311229173</v>
      </c>
      <c r="E33" s="127">
        <f>Depreciation!F45</f>
        <v>7011.6877311229173</v>
      </c>
      <c r="F33" s="127">
        <f>Depreciation!G45</f>
        <v>7011.6877311229173</v>
      </c>
      <c r="G33" s="127">
        <f>Depreciation!H45</f>
        <v>7011.6877311229173</v>
      </c>
      <c r="H33" s="127">
        <f>Depreciation!I45</f>
        <v>7011.6877311229173</v>
      </c>
      <c r="I33" s="127">
        <f>Depreciation!J45</f>
        <v>7011.6877311229173</v>
      </c>
      <c r="J33" s="127">
        <f>Depreciation!K45</f>
        <v>7011.6877311229173</v>
      </c>
      <c r="K33" s="127">
        <f>Depreciation!L45</f>
        <v>7011.6877311229173</v>
      </c>
      <c r="L33" s="127">
        <f>Depreciation!M45</f>
        <v>7011.6877311229173</v>
      </c>
      <c r="M33" s="127">
        <f>Depreciation!N45</f>
        <v>7011.6877311229173</v>
      </c>
      <c r="N33" s="127">
        <f>Depreciation!O45</f>
        <v>7011.6877311229173</v>
      </c>
      <c r="O33" s="127">
        <f>Depreciation!P45</f>
        <v>7011.6877311229173</v>
      </c>
      <c r="P33" s="127">
        <f>Depreciation!Q45</f>
        <v>7011.6877311229173</v>
      </c>
      <c r="Q33" s="127">
        <f>Depreciation!R45</f>
        <v>7011.6877311229173</v>
      </c>
      <c r="R33" s="127">
        <f>Depreciation!S45</f>
        <v>7011.6877311229173</v>
      </c>
      <c r="S33" s="127">
        <f>Depreciation!T45</f>
        <v>7011.6877311229173</v>
      </c>
      <c r="T33" s="127">
        <f>Depreciation!U45</f>
        <v>7011.6877311229173</v>
      </c>
      <c r="U33" s="127">
        <f>Depreciation!V45</f>
        <v>7011.6877311229173</v>
      </c>
      <c r="W33" s="91">
        <f>SUM(B33:U33)</f>
        <v>140233.75462245833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8">B31-B33</f>
        <v>23532.953733861701</v>
      </c>
      <c r="C35" s="132">
        <f t="shared" si="8"/>
        <v>23356.486534259195</v>
      </c>
      <c r="D35" s="132">
        <f t="shared" si="8"/>
        <v>23197.679311293621</v>
      </c>
      <c r="E35" s="132">
        <f t="shared" si="8"/>
        <v>28933.829315746494</v>
      </c>
      <c r="F35" s="132">
        <f t="shared" si="8"/>
        <v>30860.295827963608</v>
      </c>
      <c r="G35" s="132">
        <f t="shared" si="8"/>
        <v>31488.595730961788</v>
      </c>
      <c r="H35" s="132">
        <f t="shared" si="8"/>
        <v>32080.829975305089</v>
      </c>
      <c r="I35" s="132">
        <f t="shared" si="8"/>
        <v>32748.875298738414</v>
      </c>
      <c r="J35" s="132">
        <f t="shared" si="8"/>
        <v>33533.384988860751</v>
      </c>
      <c r="K35" s="132">
        <f t="shared" si="8"/>
        <v>34412.372938357119</v>
      </c>
      <c r="L35" s="132">
        <f t="shared" si="8"/>
        <v>34746.051817378306</v>
      </c>
      <c r="M35" s="132">
        <f t="shared" si="8"/>
        <v>35241.582135403711</v>
      </c>
      <c r="N35" s="132">
        <f t="shared" si="8"/>
        <v>35741.900605417468</v>
      </c>
      <c r="O35" s="132">
        <f t="shared" si="8"/>
        <v>36247.056493977754</v>
      </c>
      <c r="P35" s="132">
        <f t="shared" si="8"/>
        <v>36757.064479162545</v>
      </c>
      <c r="Q35" s="132">
        <f t="shared" si="8"/>
        <v>37382.121666086605</v>
      </c>
      <c r="R35" s="132">
        <f t="shared" si="8"/>
        <v>38015.135500969001</v>
      </c>
      <c r="S35" s="132">
        <f t="shared" si="8"/>
        <v>38656.181460737702</v>
      </c>
      <c r="T35" s="132">
        <f t="shared" si="8"/>
        <v>39305.334818687697</v>
      </c>
      <c r="U35" s="132">
        <f t="shared" si="8"/>
        <v>39962.670601056503</v>
      </c>
      <c r="W35" s="91">
        <f>SUM(B35:U35)</f>
        <v>666200.40323422512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IS!B38*Allocation!$E$13</f>
        <v>13772.860189426332</v>
      </c>
      <c r="C37" s="127">
        <f>IS!C38*Allocation!$E$13</f>
        <v>13566.203317687863</v>
      </c>
      <c r="D37" s="127">
        <f>IS!D38*Allocation!$E$13</f>
        <v>13274.706811635697</v>
      </c>
      <c r="E37" s="127">
        <f>IS!E38*Allocation!$E$13</f>
        <v>13045.883026678363</v>
      </c>
      <c r="F37" s="127">
        <f>IS!F38*Allocation!$E$13</f>
        <v>12641.04499161461</v>
      </c>
      <c r="G37" s="127">
        <f>IS!G38*Allocation!$E$13</f>
        <v>12161.207168732251</v>
      </c>
      <c r="H37" s="127">
        <f>IS!H38*Allocation!$E$13</f>
        <v>11621.934061271668</v>
      </c>
      <c r="I37" s="127">
        <f>IS!I38*Allocation!$E$13</f>
        <v>11057.75537879854</v>
      </c>
      <c r="J37" s="127">
        <f>IS!J38*Allocation!$E$13</f>
        <v>10356.957432516312</v>
      </c>
      <c r="K37" s="127">
        <f>IS!K38*Allocation!$E$13</f>
        <v>9580.4211020427956</v>
      </c>
      <c r="L37" s="127">
        <f>IS!L38*Allocation!$E$13</f>
        <v>8763.3274704826836</v>
      </c>
      <c r="M37" s="127">
        <f>IS!M38*Allocation!$E$13</f>
        <v>7872.4235730695937</v>
      </c>
      <c r="N37" s="127">
        <f>IS!N38*Allocation!$E$13</f>
        <v>6937.243390427775</v>
      </c>
      <c r="O37" s="127">
        <f>IS!O38*Allocation!$E$13</f>
        <v>6024.2013504003198</v>
      </c>
      <c r="P37" s="127">
        <f>IS!P38*Allocation!$E$13</f>
        <v>5099.65247918348</v>
      </c>
      <c r="Q37" s="127">
        <f>IS!Q38*Allocation!$E$13</f>
        <v>4141.4586341628865</v>
      </c>
      <c r="R37" s="127">
        <f>IS!R38*Allocation!$E$13</f>
        <v>3125.1052619350653</v>
      </c>
      <c r="S37" s="127">
        <f>IS!S38*Allocation!$E$13</f>
        <v>2166.786342662414</v>
      </c>
      <c r="T37" s="127">
        <f>IS!T38*Allocation!$E$13</f>
        <v>1345.0485066377048</v>
      </c>
      <c r="U37" s="127">
        <f>IS!U38*Allocation!$E$13</f>
        <v>525.3118586459326</v>
      </c>
      <c r="W37" s="91">
        <f>SUM(B37:U37)</f>
        <v>167079.53234801226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9">B35-B37</f>
        <v>9760.093544435369</v>
      </c>
      <c r="C39" s="132">
        <f t="shared" si="9"/>
        <v>9790.2832165713316</v>
      </c>
      <c r="D39" s="132">
        <f t="shared" si="9"/>
        <v>9922.9724996579243</v>
      </c>
      <c r="E39" s="132">
        <f t="shared" si="9"/>
        <v>15887.946289068132</v>
      </c>
      <c r="F39" s="132">
        <f t="shared" si="9"/>
        <v>18219.250836348998</v>
      </c>
      <c r="G39" s="132">
        <f t="shared" si="9"/>
        <v>19327.388562229535</v>
      </c>
      <c r="H39" s="132">
        <f t="shared" si="9"/>
        <v>20458.895914033419</v>
      </c>
      <c r="I39" s="132">
        <f t="shared" si="9"/>
        <v>21691.119919939876</v>
      </c>
      <c r="J39" s="132">
        <f t="shared" si="9"/>
        <v>23176.427556344439</v>
      </c>
      <c r="K39" s="132">
        <f t="shared" si="9"/>
        <v>24831.951836314322</v>
      </c>
      <c r="L39" s="132">
        <f t="shared" si="9"/>
        <v>25982.724346895622</v>
      </c>
      <c r="M39" s="132">
        <f t="shared" si="9"/>
        <v>27369.158562334116</v>
      </c>
      <c r="N39" s="132">
        <f t="shared" si="9"/>
        <v>28804.657214989693</v>
      </c>
      <c r="O39" s="132">
        <f t="shared" si="9"/>
        <v>30222.855143577435</v>
      </c>
      <c r="P39" s="132">
        <f t="shared" si="9"/>
        <v>31657.411999979064</v>
      </c>
      <c r="Q39" s="132">
        <f t="shared" si="9"/>
        <v>33240.663031923716</v>
      </c>
      <c r="R39" s="132">
        <f t="shared" si="9"/>
        <v>34890.030239033935</v>
      </c>
      <c r="S39" s="132">
        <f t="shared" si="9"/>
        <v>36489.395118075285</v>
      </c>
      <c r="T39" s="132">
        <f t="shared" si="9"/>
        <v>37960.28631204999</v>
      </c>
      <c r="U39" s="132">
        <f t="shared" si="9"/>
        <v>39437.358742410572</v>
      </c>
      <c r="W39" s="91">
        <f>SUM(B39:U39)</f>
        <v>499120.87088621274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B39*-Assumptions!$H$38</f>
        <v>-439.20420949959157</v>
      </c>
      <c r="C41" s="127">
        <f>C39*-Assumptions!$H$38</f>
        <v>-440.56274474570989</v>
      </c>
      <c r="D41" s="127">
        <f>D39*-Assumptions!$H$38</f>
        <v>-446.5337624846066</v>
      </c>
      <c r="E41" s="127">
        <f>E39*-Assumptions!$H$38</f>
        <v>-714.95758300806585</v>
      </c>
      <c r="F41" s="127">
        <f>F39*-Assumptions!$H$38</f>
        <v>-819.86628763570491</v>
      </c>
      <c r="G41" s="127">
        <f>G39*-Assumptions!$H$38</f>
        <v>-869.73248530032902</v>
      </c>
      <c r="H41" s="127">
        <f>H39*-Assumptions!$H$38</f>
        <v>-920.65031613150381</v>
      </c>
      <c r="I41" s="127">
        <f>I39*-Assumptions!$H$38</f>
        <v>-976.10039639729439</v>
      </c>
      <c r="J41" s="127">
        <f>J39*-Assumptions!$H$38</f>
        <v>-1042.9392400354998</v>
      </c>
      <c r="K41" s="127">
        <f>K39*-Assumptions!$H$38</f>
        <v>-1117.4378326341443</v>
      </c>
      <c r="L41" s="127">
        <f>L39*-Assumptions!$H$38</f>
        <v>-1169.222595610303</v>
      </c>
      <c r="M41" s="127">
        <f>M39*-Assumptions!$H$38</f>
        <v>-1231.6121353050353</v>
      </c>
      <c r="N41" s="127">
        <f>N39*-Assumptions!$H$38</f>
        <v>-1296.209574674536</v>
      </c>
      <c r="O41" s="127">
        <f>O39*-Assumptions!$H$38</f>
        <v>-1360.0284814609845</v>
      </c>
      <c r="P41" s="127">
        <f>P39*-Assumptions!$H$38</f>
        <v>-1424.5835399990578</v>
      </c>
      <c r="Q41" s="127">
        <f>Q39*-Assumptions!$H$38</f>
        <v>-1495.8298364365671</v>
      </c>
      <c r="R41" s="127">
        <f>R39*-Assumptions!$H$38</f>
        <v>-1570.0513607565269</v>
      </c>
      <c r="S41" s="127">
        <f>S39*-Assumptions!$H$38</f>
        <v>-1642.0227803133878</v>
      </c>
      <c r="T41" s="127">
        <f>T39*-Assumptions!$H$38</f>
        <v>-1708.2128840422495</v>
      </c>
      <c r="U41" s="127">
        <f>U39*-Assumptions!$H$38</f>
        <v>-1774.6811434084757</v>
      </c>
      <c r="W41" s="91">
        <f>SUM(B41:U41)</f>
        <v>-22460.439189879573</v>
      </c>
    </row>
    <row r="42" spans="1:23">
      <c r="A42" s="3" t="s">
        <v>69</v>
      </c>
      <c r="B42" s="121">
        <f>(B39+B41)*-Assumptions!$H$37</f>
        <v>-3262.3112672275215</v>
      </c>
      <c r="C42" s="121">
        <f>(C39+C41)*-Assumptions!$H$37</f>
        <v>-3272.4021651389676</v>
      </c>
      <c r="D42" s="121">
        <f>(D39+D41)*-Assumptions!$H$37</f>
        <v>-3316.753558010661</v>
      </c>
      <c r="E42" s="121">
        <f>(E39+E41)*-Assumptions!$H$37</f>
        <v>-5310.5460471210226</v>
      </c>
      <c r="F42" s="121">
        <f>(F39+F41)*-Assumptions!$H$37</f>
        <v>-6089.784592049652</v>
      </c>
      <c r="G42" s="121">
        <f>(G39+G41)*-Assumptions!$H$37</f>
        <v>-6460.1796269252209</v>
      </c>
      <c r="H42" s="121">
        <f>(H39+H41)*-Assumptions!$H$37</f>
        <v>-6838.38595926567</v>
      </c>
      <c r="I42" s="121">
        <f>(I39+I41)*-Assumptions!$H$37</f>
        <v>-7250.2568332399032</v>
      </c>
      <c r="J42" s="121">
        <f>(J39+J41)*-Assumptions!$H$37</f>
        <v>-7746.720910708128</v>
      </c>
      <c r="K42" s="121">
        <f>(K39+K41)*-Assumptions!$H$37</f>
        <v>-8300.0799012880616</v>
      </c>
      <c r="L42" s="121">
        <f>(L39+L41)*-Assumptions!$H$37</f>
        <v>-8684.7256129498619</v>
      </c>
      <c r="M42" s="121">
        <f>(M39+M41)*-Assumptions!$H$37</f>
        <v>-9148.1412494601773</v>
      </c>
      <c r="N42" s="121">
        <f>(N39+N41)*-Assumptions!$H$37</f>
        <v>-9627.9566741103044</v>
      </c>
      <c r="O42" s="121">
        <f>(O39+O41)*-Assumptions!$H$37</f>
        <v>-10101.989331740757</v>
      </c>
      <c r="P42" s="121">
        <f>(P39+P41)*-Assumptions!$H$37</f>
        <v>-10581.489960993002</v>
      </c>
      <c r="Q42" s="121">
        <f>(Q39+Q41)*-Assumptions!$H$37</f>
        <v>-11110.691618420502</v>
      </c>
      <c r="R42" s="121">
        <f>(R39+R41)*-Assumptions!$H$37</f>
        <v>-11661.992607397091</v>
      </c>
      <c r="S42" s="121">
        <f>(S39+S41)*-Assumptions!$H$37</f>
        <v>-12196.580318216662</v>
      </c>
      <c r="T42" s="121">
        <f>(T39+T41)*-Assumptions!$H$37</f>
        <v>-12688.225699802708</v>
      </c>
      <c r="U42" s="121">
        <f>(U39+U41)*-Assumptions!$H$37</f>
        <v>-13181.937159650734</v>
      </c>
      <c r="W42" s="91">
        <f>SUM(B42:U42)</f>
        <v>-166831.15109371662</v>
      </c>
    </row>
    <row r="43" spans="1:23" ht="6" customHeight="1">
      <c r="B43" s="127"/>
      <c r="C43" s="91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0">SUM(B39:B42)</f>
        <v>6058.5780677082548</v>
      </c>
      <c r="C44" s="134">
        <f t="shared" si="10"/>
        <v>6077.3183066866541</v>
      </c>
      <c r="D44" s="134">
        <f t="shared" si="10"/>
        <v>6159.6851791626559</v>
      </c>
      <c r="E44" s="134">
        <f t="shared" si="10"/>
        <v>9862.4426589390423</v>
      </c>
      <c r="F44" s="134">
        <f t="shared" si="10"/>
        <v>11309.599956663642</v>
      </c>
      <c r="G44" s="134">
        <f t="shared" si="10"/>
        <v>11997.476450003984</v>
      </c>
      <c r="H44" s="134">
        <f t="shared" si="10"/>
        <v>12699.859638636244</v>
      </c>
      <c r="I44" s="134">
        <f t="shared" si="10"/>
        <v>13464.762690302679</v>
      </c>
      <c r="J44" s="134">
        <f t="shared" si="10"/>
        <v>14386.767405600811</v>
      </c>
      <c r="K44" s="134">
        <f t="shared" si="10"/>
        <v>15414.434102392117</v>
      </c>
      <c r="L44" s="134">
        <f t="shared" si="10"/>
        <v>16128.776138335457</v>
      </c>
      <c r="M44" s="134">
        <f t="shared" si="10"/>
        <v>16989.4051775689</v>
      </c>
      <c r="N44" s="134">
        <f t="shared" si="10"/>
        <v>17880.490966204852</v>
      </c>
      <c r="O44" s="134">
        <f t="shared" si="10"/>
        <v>18760.837330375696</v>
      </c>
      <c r="P44" s="134">
        <f t="shared" si="10"/>
        <v>19651.338498987003</v>
      </c>
      <c r="Q44" s="134">
        <f t="shared" si="10"/>
        <v>20634.14157706665</v>
      </c>
      <c r="R44" s="134">
        <f t="shared" si="10"/>
        <v>21657.986270880312</v>
      </c>
      <c r="S44" s="134">
        <f t="shared" si="10"/>
        <v>22650.792019545232</v>
      </c>
      <c r="T44" s="134">
        <f t="shared" si="10"/>
        <v>23563.84772820503</v>
      </c>
      <c r="U44" s="134">
        <f t="shared" si="10"/>
        <v>24480.740439351364</v>
      </c>
      <c r="W44" s="91">
        <f>SUM(B44:U44)</f>
        <v>309829.28060261655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86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1">B52+1</f>
        <v>2002</v>
      </c>
      <c r="D52" s="8">
        <f t="shared" si="11"/>
        <v>2003</v>
      </c>
      <c r="E52" s="8">
        <f>D52+1</f>
        <v>2004</v>
      </c>
      <c r="F52" s="8">
        <f t="shared" si="11"/>
        <v>2005</v>
      </c>
      <c r="G52" s="8">
        <f t="shared" si="11"/>
        <v>2006</v>
      </c>
      <c r="H52" s="8">
        <f t="shared" si="11"/>
        <v>2007</v>
      </c>
      <c r="I52" s="8">
        <f t="shared" si="11"/>
        <v>2008</v>
      </c>
      <c r="J52" s="8">
        <f t="shared" si="11"/>
        <v>2009</v>
      </c>
      <c r="K52" s="8">
        <f>J52+1</f>
        <v>2010</v>
      </c>
      <c r="L52" s="8">
        <f t="shared" si="11"/>
        <v>2011</v>
      </c>
      <c r="M52" s="8">
        <f t="shared" si="11"/>
        <v>2012</v>
      </c>
      <c r="N52" s="8">
        <f t="shared" si="11"/>
        <v>2013</v>
      </c>
      <c r="O52" s="8">
        <f t="shared" si="11"/>
        <v>2014</v>
      </c>
      <c r="P52" s="8">
        <f t="shared" si="11"/>
        <v>2015</v>
      </c>
      <c r="Q52" s="8">
        <f t="shared" si="11"/>
        <v>2016</v>
      </c>
      <c r="R52" s="8">
        <f t="shared" si="11"/>
        <v>2017</v>
      </c>
      <c r="S52" s="8">
        <f t="shared" si="11"/>
        <v>2018</v>
      </c>
      <c r="T52" s="8">
        <f t="shared" si="11"/>
        <v>2019</v>
      </c>
      <c r="U52" s="8">
        <f t="shared" si="11"/>
        <v>2020</v>
      </c>
      <c r="W52" s="399" t="s">
        <v>160</v>
      </c>
    </row>
    <row r="53" spans="1:55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23"/>
    </row>
    <row r="54" spans="1:55" outlineLevel="1">
      <c r="A54" s="13" t="s">
        <v>270</v>
      </c>
      <c r="B54" s="67">
        <f>B31-B12</f>
        <v>20941.82126325</v>
      </c>
      <c r="C54" s="67">
        <f>C31-C12</f>
        <v>20765.354063647494</v>
      </c>
      <c r="D54" s="67">
        <f>D31-D12</f>
        <v>20606.54684068192</v>
      </c>
      <c r="E54" s="56">
        <f t="shared" ref="E54:U54" si="12">E31</f>
        <v>35945.517046869412</v>
      </c>
      <c r="F54" s="56">
        <f t="shared" si="12"/>
        <v>37871.983559086526</v>
      </c>
      <c r="G54" s="56">
        <f t="shared" si="12"/>
        <v>38500.283462084706</v>
      </c>
      <c r="H54" s="56">
        <f t="shared" si="12"/>
        <v>39092.517706428007</v>
      </c>
      <c r="I54" s="56">
        <f t="shared" si="12"/>
        <v>39760.563029861332</v>
      </c>
      <c r="J54" s="56">
        <f t="shared" si="12"/>
        <v>40545.072719983669</v>
      </c>
      <c r="K54" s="56">
        <f t="shared" si="12"/>
        <v>41424.060669480037</v>
      </c>
      <c r="L54" s="56">
        <f t="shared" si="12"/>
        <v>41757.739548501224</v>
      </c>
      <c r="M54" s="56">
        <f t="shared" si="12"/>
        <v>42253.269866526629</v>
      </c>
      <c r="N54" s="56">
        <f t="shared" si="12"/>
        <v>42753.588336540386</v>
      </c>
      <c r="O54" s="56">
        <f t="shared" si="12"/>
        <v>43258.744225100672</v>
      </c>
      <c r="P54" s="56">
        <f t="shared" si="12"/>
        <v>43768.752210285464</v>
      </c>
      <c r="Q54" s="56">
        <f t="shared" si="12"/>
        <v>44393.809397209523</v>
      </c>
      <c r="R54" s="56">
        <f t="shared" si="12"/>
        <v>45026.82323209192</v>
      </c>
      <c r="S54" s="56">
        <f t="shared" si="12"/>
        <v>45667.86919186062</v>
      </c>
      <c r="T54" s="56">
        <f t="shared" si="12"/>
        <v>46317.022549810616</v>
      </c>
      <c r="U54" s="56">
        <f t="shared" si="12"/>
        <v>46974.358332179421</v>
      </c>
      <c r="W54" s="400">
        <f>SUM(B54:U54)</f>
        <v>777625.69725147972</v>
      </c>
    </row>
    <row r="55" spans="1:55">
      <c r="A55" s="13" t="s">
        <v>168</v>
      </c>
      <c r="B55" s="67">
        <f>B26</f>
        <v>0</v>
      </c>
      <c r="C55" s="67">
        <f t="shared" ref="C55:U55" si="13">C26</f>
        <v>117.98699999999999</v>
      </c>
      <c r="D55" s="67">
        <f t="shared" si="13"/>
        <v>216.84299999999999</v>
      </c>
      <c r="E55" s="67">
        <f t="shared" si="13"/>
        <v>295.98500000000001</v>
      </c>
      <c r="F55" s="67">
        <f t="shared" si="13"/>
        <v>346.25099999999998</v>
      </c>
      <c r="G55" s="67">
        <f t="shared" si="13"/>
        <v>468.65699999999998</v>
      </c>
      <c r="H55" s="67">
        <f t="shared" si="13"/>
        <v>641.05899999999997</v>
      </c>
      <c r="I55" s="67">
        <f t="shared" si="13"/>
        <v>753.23199999999997</v>
      </c>
      <c r="J55" s="67">
        <f t="shared" si="13"/>
        <v>765.3</v>
      </c>
      <c r="K55" s="67">
        <f t="shared" si="13"/>
        <v>699.25800000000004</v>
      </c>
      <c r="L55" s="67">
        <f t="shared" si="13"/>
        <v>854.33299999999997</v>
      </c>
      <c r="M55" s="67">
        <f t="shared" si="13"/>
        <v>854.3</v>
      </c>
      <c r="N55" s="67">
        <f t="shared" si="13"/>
        <v>854.3</v>
      </c>
      <c r="O55" s="67">
        <f t="shared" si="13"/>
        <v>854.3</v>
      </c>
      <c r="P55" s="67">
        <f t="shared" si="13"/>
        <v>854.3</v>
      </c>
      <c r="Q55" s="67">
        <f t="shared" si="13"/>
        <v>854.3</v>
      </c>
      <c r="R55" s="67">
        <f t="shared" si="13"/>
        <v>854.3</v>
      </c>
      <c r="S55" s="67">
        <f t="shared" si="13"/>
        <v>854.3</v>
      </c>
      <c r="T55" s="67">
        <f t="shared" si="13"/>
        <v>854.3</v>
      </c>
      <c r="U55" s="67">
        <f t="shared" si="13"/>
        <v>854.3</v>
      </c>
      <c r="W55" s="400">
        <f>SUM(B55:U55)</f>
        <v>12847.604999999996</v>
      </c>
      <c r="X55" s="16"/>
      <c r="Y55" s="16"/>
      <c r="Z55" s="16"/>
      <c r="AA55" s="16"/>
      <c r="AB55" s="17"/>
      <c r="AC55" s="17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-203.273</v>
      </c>
      <c r="C56" s="67">
        <f>-B55</f>
        <v>0</v>
      </c>
      <c r="D56" s="67">
        <f t="shared" ref="D56:U56" si="14">-C55</f>
        <v>-117.98699999999999</v>
      </c>
      <c r="E56" s="67">
        <f t="shared" si="14"/>
        <v>-216.84299999999999</v>
      </c>
      <c r="F56" s="67">
        <f t="shared" si="14"/>
        <v>-295.98500000000001</v>
      </c>
      <c r="G56" s="67">
        <f t="shared" si="14"/>
        <v>-346.25099999999998</v>
      </c>
      <c r="H56" s="67">
        <f t="shared" si="14"/>
        <v>-468.65699999999998</v>
      </c>
      <c r="I56" s="67">
        <f t="shared" si="14"/>
        <v>-641.05899999999997</v>
      </c>
      <c r="J56" s="67">
        <f t="shared" si="14"/>
        <v>-753.23199999999997</v>
      </c>
      <c r="K56" s="67">
        <f t="shared" si="14"/>
        <v>-765.3</v>
      </c>
      <c r="L56" s="67">
        <f t="shared" si="14"/>
        <v>-699.25800000000004</v>
      </c>
      <c r="M56" s="67">
        <f t="shared" si="14"/>
        <v>-854.33299999999997</v>
      </c>
      <c r="N56" s="67">
        <f t="shared" si="14"/>
        <v>-854.3</v>
      </c>
      <c r="O56" s="67">
        <f t="shared" si="14"/>
        <v>-854.3</v>
      </c>
      <c r="P56" s="67">
        <f t="shared" si="14"/>
        <v>-854.3</v>
      </c>
      <c r="Q56" s="67">
        <f t="shared" si="14"/>
        <v>-854.3</v>
      </c>
      <c r="R56" s="67">
        <f t="shared" si="14"/>
        <v>-854.3</v>
      </c>
      <c r="S56" s="67">
        <f t="shared" si="14"/>
        <v>-854.3</v>
      </c>
      <c r="T56" s="67">
        <f t="shared" si="14"/>
        <v>-854.3</v>
      </c>
      <c r="U56" s="67">
        <f t="shared" si="14"/>
        <v>-854.3</v>
      </c>
      <c r="W56" s="400">
        <f>SUM(B56:U56)</f>
        <v>-12196.577999999996</v>
      </c>
      <c r="X56" s="16"/>
      <c r="Y56" s="16"/>
      <c r="Z56" s="16"/>
      <c r="AA56" s="16"/>
      <c r="AB56" s="17"/>
      <c r="AC56" s="17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-Debt!B77*Allocation!$E$13</f>
        <v>-16434.861105772212</v>
      </c>
      <c r="C57" s="398">
        <f>-Debt!C77*Allocation!$E$13</f>
        <v>-16421.413977962075</v>
      </c>
      <c r="D57" s="398">
        <f>-Debt!D77*Allocation!$E$13</f>
        <v>-16344.594965163607</v>
      </c>
      <c r="E57" s="398">
        <f>-Debt!E77*Allocation!$E$13</f>
        <v>-16111.4776303412</v>
      </c>
      <c r="F57" s="398">
        <f>-Debt!F77*Allocation!$E$13</f>
        <v>-16860.745799009339</v>
      </c>
      <c r="G57" s="398">
        <f>-Debt!G77*Allocation!$E$13</f>
        <v>-16957.961077992924</v>
      </c>
      <c r="H57" s="398">
        <f>-Debt!H77*Allocation!$E$13</f>
        <v>-16851.477796931798</v>
      </c>
      <c r="I57" s="398">
        <f>-Debt!I77*Allocation!$E$13</f>
        <v>-17008.615491791101</v>
      </c>
      <c r="J57" s="398">
        <f>-Debt!J77*Allocation!$E$13</f>
        <v>-16884.870647374821</v>
      </c>
      <c r="K57" s="398">
        <f>-Debt!K77*Allocation!$E$13</f>
        <v>-17079.535296381044</v>
      </c>
      <c r="L57" s="398">
        <f>-Debt!L77*Allocation!$E$13</f>
        <v>-16921.072214123284</v>
      </c>
      <c r="M57" s="398">
        <f>-Debt!M77*Allocation!$E$13</f>
        <v>-16030.168316710193</v>
      </c>
      <c r="N57" s="398">
        <f>-Debt!N77*Allocation!$E$13</f>
        <v>-15094.988134068375</v>
      </c>
      <c r="O57" s="398">
        <f>-Debt!O77*Allocation!$E$13</f>
        <v>-14181.946094040921</v>
      </c>
      <c r="P57" s="398">
        <f>-Debt!P77*Allocation!$E$13</f>
        <v>-13665.284460006109</v>
      </c>
      <c r="Q57" s="398">
        <f>-Debt!Q77*Allocation!$E$13</f>
        <v>-13114.977852167545</v>
      </c>
      <c r="R57" s="398">
        <f>-Debt!R77*Allocation!$E$13</f>
        <v>-12098.624479939726</v>
      </c>
      <c r="S57" s="398">
        <f>-Debt!S77*Allocation!$E$13</f>
        <v>-9508.7566119389539</v>
      </c>
      <c r="T57" s="398">
        <f>-Debt!T77*Allocation!$E$13</f>
        <v>-8687.0187759142445</v>
      </c>
      <c r="U57" s="398">
        <f>-Debt!U77*Allocation!$E$13</f>
        <v>-7051.5076535584194</v>
      </c>
      <c r="W57" s="400">
        <f>SUM(B57:U57)</f>
        <v>-293309.89838118787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s="57" customFormat="1" outlineLevel="1">
      <c r="A59" s="12" t="s">
        <v>72</v>
      </c>
      <c r="B59" s="65">
        <f t="shared" ref="B59:U59" si="15">SUM(B54:B57)</f>
        <v>4303.687157477787</v>
      </c>
      <c r="C59" s="65">
        <f t="shared" si="15"/>
        <v>4461.92708568542</v>
      </c>
      <c r="D59" s="65">
        <f t="shared" si="15"/>
        <v>4360.8078755183124</v>
      </c>
      <c r="E59" s="65">
        <f t="shared" si="15"/>
        <v>19913.181416528212</v>
      </c>
      <c r="F59" s="65">
        <f t="shared" si="15"/>
        <v>21061.503760077183</v>
      </c>
      <c r="G59" s="65">
        <f t="shared" si="15"/>
        <v>21664.728384091784</v>
      </c>
      <c r="H59" s="65">
        <f t="shared" si="15"/>
        <v>22413.44190949621</v>
      </c>
      <c r="I59" s="65">
        <f t="shared" si="15"/>
        <v>22864.120538070227</v>
      </c>
      <c r="J59" s="65">
        <f t="shared" si="15"/>
        <v>23672.270072608848</v>
      </c>
      <c r="K59" s="65">
        <f t="shared" si="15"/>
        <v>24278.483373098992</v>
      </c>
      <c r="L59" s="65">
        <f t="shared" si="15"/>
        <v>24991.742334377937</v>
      </c>
      <c r="M59" s="65">
        <f t="shared" si="15"/>
        <v>26223.068549816438</v>
      </c>
      <c r="N59" s="65">
        <f t="shared" si="15"/>
        <v>27658.600202472011</v>
      </c>
      <c r="O59" s="65">
        <f t="shared" si="15"/>
        <v>29076.798131059753</v>
      </c>
      <c r="P59" s="65">
        <f t="shared" si="15"/>
        <v>30103.467750279357</v>
      </c>
      <c r="Q59" s="65">
        <f t="shared" si="15"/>
        <v>31278.831545041976</v>
      </c>
      <c r="R59" s="65">
        <f t="shared" si="15"/>
        <v>32928.198752152195</v>
      </c>
      <c r="S59" s="65">
        <f t="shared" si="15"/>
        <v>36159.112579921668</v>
      </c>
      <c r="T59" s="65">
        <f t="shared" si="15"/>
        <v>37630.003773896373</v>
      </c>
      <c r="U59" s="65">
        <f t="shared" si="15"/>
        <v>39922.850678621005</v>
      </c>
      <c r="W59" s="400">
        <f>SUM(B59:U59)</f>
        <v>484966.82587029168</v>
      </c>
    </row>
    <row r="60" spans="1:55" outlineLevel="1">
      <c r="A60" s="12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W60" s="401"/>
    </row>
    <row r="61" spans="1:55" ht="15" outlineLevel="1">
      <c r="A61" s="13" t="s">
        <v>99</v>
      </c>
      <c r="B61" s="223">
        <f>-B106</f>
        <v>-296.48996776542862</v>
      </c>
      <c r="C61" s="223">
        <f t="shared" ref="C61:U61" si="16">-C106</f>
        <v>-297.14384874839141</v>
      </c>
      <c r="D61" s="223">
        <f t="shared" si="16"/>
        <v>-297.8207467523431</v>
      </c>
      <c r="E61" s="223">
        <f t="shared" si="16"/>
        <v>-540.19017382831646</v>
      </c>
      <c r="F61" s="223">
        <f t="shared" si="16"/>
        <v>-619.454528435866</v>
      </c>
      <c r="G61" s="223">
        <f t="shared" si="16"/>
        <v>-935.75589718324295</v>
      </c>
      <c r="H61" s="223">
        <f t="shared" si="16"/>
        <v>-1387.7308238116098</v>
      </c>
      <c r="I61" s="223">
        <f t="shared" si="16"/>
        <v>-1484.1544051912747</v>
      </c>
      <c r="J61" s="223">
        <f t="shared" si="16"/>
        <v>-1602.41582355418</v>
      </c>
      <c r="K61" s="223">
        <f t="shared" si="16"/>
        <v>-1732.2801265848559</v>
      </c>
      <c r="L61" s="223">
        <f t="shared" si="16"/>
        <v>-1824.1132700077237</v>
      </c>
      <c r="M61" s="223">
        <f t="shared" si="16"/>
        <v>-1932.7194579404195</v>
      </c>
      <c r="N61" s="223">
        <f t="shared" si="16"/>
        <v>-2047.0459665871551</v>
      </c>
      <c r="O61" s="223">
        <f t="shared" si="16"/>
        <v>-2158.1614878586415</v>
      </c>
      <c r="P61" s="223">
        <f t="shared" si="16"/>
        <v>-2272.4135946013157</v>
      </c>
      <c r="Q61" s="223">
        <f t="shared" si="16"/>
        <v>-2669.5143767737236</v>
      </c>
      <c r="R61" s="223">
        <f t="shared" si="16"/>
        <v>-3071.8383367842121</v>
      </c>
      <c r="S61" s="223">
        <f t="shared" si="16"/>
        <v>-3198.1881622284791</v>
      </c>
      <c r="T61" s="223">
        <f t="shared" si="16"/>
        <v>-3314.3885665524804</v>
      </c>
      <c r="U61" s="223">
        <f t="shared" si="16"/>
        <v>-3431.0772885509664</v>
      </c>
      <c r="W61" s="400">
        <f>SUM(B61:U61)</f>
        <v>-35112.896849740624</v>
      </c>
    </row>
    <row r="62" spans="1:55" outlineLevel="1">
      <c r="A62" s="13" t="s">
        <v>100</v>
      </c>
      <c r="B62" s="128">
        <f>-Allocation!$E$13*Tax!B24</f>
        <v>0</v>
      </c>
      <c r="C62" s="128">
        <f>-Allocation!$E$13*Tax!C24</f>
        <v>0</v>
      </c>
      <c r="D62" s="128">
        <f>-Allocation!$E$13*Tax!D24</f>
        <v>0</v>
      </c>
      <c r="E62" s="128">
        <f>-Allocation!$E$13*Tax!E24</f>
        <v>0</v>
      </c>
      <c r="F62" s="128">
        <f>-Allocation!$E$13*Tax!F24</f>
        <v>0</v>
      </c>
      <c r="G62" s="128">
        <f>-Allocation!$E$13*Tax!G24</f>
        <v>0</v>
      </c>
      <c r="H62" s="128">
        <f>-Allocation!$E$13*Tax!H24</f>
        <v>-3621.2487332395308</v>
      </c>
      <c r="I62" s="128">
        <f>-Allocation!$E$13*Tax!I24</f>
        <v>-4967.6604992109369</v>
      </c>
      <c r="J62" s="128">
        <f>-Allocation!$E$13*Tax!J24</f>
        <v>-5352.2901603370337</v>
      </c>
      <c r="K62" s="128">
        <f>-Allocation!$E$13*Tax!K24</f>
        <v>-5750.8410353873705</v>
      </c>
      <c r="L62" s="128">
        <f>-Allocation!$E$13*Tax!L24</f>
        <v>-6275.3555708771646</v>
      </c>
      <c r="M62" s="128">
        <f>-Allocation!$E$13*Tax!M24</f>
        <v>-6823.9323084054895</v>
      </c>
      <c r="N62" s="128">
        <f>-Allocation!$E$13*Tax!N24</f>
        <v>-7377.4707897857352</v>
      </c>
      <c r="O62" s="128">
        <f>-Allocation!$E$13*Tax!O24</f>
        <v>-7918.1123611674711</v>
      </c>
      <c r="P62" s="128">
        <f>-Allocation!$E$13*Tax!P24</f>
        <v>-8453.5267977836575</v>
      </c>
      <c r="Q62" s="128">
        <f>-Allocation!$E$13*Tax!Q24</f>
        <v>-11193.53175397984</v>
      </c>
      <c r="R62" s="128">
        <f>-Allocation!$E$13*Tax!R24</f>
        <v>-13921.203951850381</v>
      </c>
      <c r="S62" s="128">
        <f>-Allocation!$E$13*Tax!S24</f>
        <v>-14439.838451921425</v>
      </c>
      <c r="T62" s="128">
        <f>-Allocation!$E$13*Tax!T24</f>
        <v>-14916.040096587549</v>
      </c>
      <c r="U62" s="128">
        <f>-Allocation!$E$13*Tax!U24</f>
        <v>-15394.483807391813</v>
      </c>
      <c r="W62" s="400">
        <f>SUM(B62:U62)</f>
        <v>-126405.53631792538</v>
      </c>
    </row>
    <row r="63" spans="1:55" ht="15" outlineLevel="1">
      <c r="A63" s="13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W63" s="401"/>
    </row>
    <row r="64" spans="1:55" s="64" customFormat="1" ht="15.75" outlineLevel="1">
      <c r="A64" s="46" t="s">
        <v>73</v>
      </c>
      <c r="B64" s="137">
        <f t="shared" ref="B64:U64" si="17">B59+B62+B61</f>
        <v>4007.1971897123585</v>
      </c>
      <c r="C64" s="137">
        <f t="shared" si="17"/>
        <v>4164.783236937029</v>
      </c>
      <c r="D64" s="137">
        <f t="shared" si="17"/>
        <v>4062.9871287659694</v>
      </c>
      <c r="E64" s="137">
        <f t="shared" si="17"/>
        <v>19372.991242699896</v>
      </c>
      <c r="F64" s="137">
        <f t="shared" si="17"/>
        <v>20442.049231641318</v>
      </c>
      <c r="G64" s="137">
        <f t="shared" si="17"/>
        <v>20728.97248690854</v>
      </c>
      <c r="H64" s="137">
        <f t="shared" si="17"/>
        <v>17404.462352445069</v>
      </c>
      <c r="I64" s="137">
        <f t="shared" si="17"/>
        <v>16412.305633668013</v>
      </c>
      <c r="J64" s="137">
        <f t="shared" si="17"/>
        <v>16717.564088717634</v>
      </c>
      <c r="K64" s="137">
        <f t="shared" si="17"/>
        <v>16795.362211126765</v>
      </c>
      <c r="L64" s="137">
        <f t="shared" si="17"/>
        <v>16892.273493493049</v>
      </c>
      <c r="M64" s="137">
        <f t="shared" si="17"/>
        <v>17466.416783470529</v>
      </c>
      <c r="N64" s="137">
        <f t="shared" si="17"/>
        <v>18234.083446099121</v>
      </c>
      <c r="O64" s="137">
        <f t="shared" si="17"/>
        <v>19000.524282033643</v>
      </c>
      <c r="P64" s="137">
        <f t="shared" si="17"/>
        <v>19377.527357894385</v>
      </c>
      <c r="Q64" s="137">
        <f t="shared" si="17"/>
        <v>17415.78541428841</v>
      </c>
      <c r="R64" s="137">
        <f t="shared" si="17"/>
        <v>15935.156463517602</v>
      </c>
      <c r="S64" s="137">
        <f t="shared" si="17"/>
        <v>18521.085965771766</v>
      </c>
      <c r="T64" s="137">
        <f t="shared" si="17"/>
        <v>19399.575110756345</v>
      </c>
      <c r="U64" s="137">
        <f t="shared" si="17"/>
        <v>21097.289582678226</v>
      </c>
      <c r="W64" s="400">
        <f>SUM(B64:U64)</f>
        <v>323448.39270262566</v>
      </c>
    </row>
    <row r="65" spans="1:256" outlineLevel="1">
      <c r="A65" s="7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59"/>
      <c r="M65" s="59"/>
      <c r="N65" s="59"/>
      <c r="O65" s="59"/>
      <c r="P65" s="59"/>
      <c r="Q65" s="59"/>
      <c r="R65" s="59"/>
      <c r="S65" s="59"/>
      <c r="T65" s="59"/>
      <c r="U65" s="59"/>
    </row>
    <row r="66" spans="1:256" ht="14.25" outlineLevel="1">
      <c r="A66" s="75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59"/>
      <c r="M66" s="59"/>
      <c r="N66" s="59"/>
      <c r="O66" s="59"/>
      <c r="P66" s="59"/>
      <c r="Q66" s="59"/>
      <c r="R66" s="59"/>
      <c r="S66" s="59"/>
      <c r="T66" s="59"/>
      <c r="U66" s="59"/>
    </row>
    <row r="67" spans="1:256" outlineLevel="1">
      <c r="A67" s="78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56" ht="18.75" outlineLevel="1">
      <c r="A68" s="55" t="s">
        <v>218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56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56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56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56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56" outlineLevel="1">
      <c r="A73" s="225" t="s">
        <v>181</v>
      </c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56" outlineLevel="1">
      <c r="A74" s="224"/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56" s="428" customFormat="1" ht="12" customHeight="1">
      <c r="A75" s="225" t="s">
        <v>87</v>
      </c>
      <c r="B75" s="424"/>
      <c r="C75" s="424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424"/>
      <c r="AD75" s="424"/>
      <c r="AE75" s="426"/>
      <c r="AF75" s="426"/>
      <c r="AG75" s="426"/>
      <c r="AH75" s="427"/>
      <c r="AI75" s="427"/>
      <c r="AJ75" s="427"/>
      <c r="AK75" s="427"/>
      <c r="AL75" s="427"/>
      <c r="AM75" s="427"/>
      <c r="AN75" s="427"/>
      <c r="AO75" s="427"/>
      <c r="AP75" s="427"/>
      <c r="AQ75" s="427"/>
      <c r="AR75" s="427"/>
      <c r="AS75" s="427"/>
      <c r="AT75" s="427"/>
      <c r="AU75" s="427"/>
      <c r="AV75" s="427"/>
      <c r="AW75" s="427"/>
      <c r="AX75" s="427"/>
      <c r="AY75" s="427"/>
      <c r="AZ75" s="427"/>
      <c r="BA75" s="427"/>
      <c r="BB75" s="427"/>
      <c r="BC75" s="427"/>
      <c r="BD75" s="427"/>
      <c r="BE75" s="427"/>
      <c r="BF75" s="427"/>
      <c r="BG75" s="427"/>
      <c r="BH75" s="427"/>
      <c r="BI75" s="427"/>
      <c r="BJ75" s="427"/>
      <c r="BK75" s="427"/>
      <c r="BL75" s="427"/>
      <c r="BM75" s="427"/>
      <c r="BN75" s="427"/>
      <c r="BO75" s="427"/>
      <c r="BP75" s="427"/>
      <c r="BQ75" s="427"/>
      <c r="BR75" s="427"/>
      <c r="BS75" s="427"/>
      <c r="BT75" s="427"/>
      <c r="BU75" s="427"/>
      <c r="BV75" s="427"/>
      <c r="BW75" s="427"/>
      <c r="BX75" s="427"/>
      <c r="BY75" s="427"/>
      <c r="BZ75" s="427"/>
      <c r="CA75" s="427"/>
      <c r="CB75" s="427"/>
      <c r="CC75" s="427"/>
      <c r="CD75" s="427"/>
      <c r="CE75" s="427"/>
      <c r="CF75" s="427"/>
      <c r="CG75" s="427"/>
      <c r="CH75" s="427"/>
      <c r="CI75" s="427"/>
      <c r="CJ75" s="427"/>
      <c r="CK75" s="427"/>
      <c r="CL75" s="427"/>
      <c r="CM75" s="427"/>
      <c r="CN75" s="427"/>
      <c r="CO75" s="427"/>
      <c r="CP75" s="427"/>
      <c r="CQ75" s="427"/>
      <c r="CR75" s="427"/>
      <c r="CS75" s="427"/>
      <c r="CT75" s="427"/>
      <c r="CU75" s="427"/>
      <c r="CV75" s="427"/>
      <c r="CW75" s="427"/>
      <c r="CX75" s="427"/>
      <c r="CY75" s="427"/>
      <c r="CZ75" s="427"/>
      <c r="DA75" s="427"/>
      <c r="DB75" s="427"/>
      <c r="DC75" s="427"/>
      <c r="DD75" s="427"/>
      <c r="DE75" s="427"/>
      <c r="DF75" s="427"/>
      <c r="DG75" s="427"/>
      <c r="DH75" s="427"/>
      <c r="DI75" s="427"/>
      <c r="DJ75" s="427"/>
      <c r="DK75" s="427"/>
      <c r="DL75" s="427"/>
      <c r="DM75" s="427"/>
      <c r="DN75" s="427"/>
      <c r="DO75" s="427"/>
      <c r="DP75" s="427"/>
      <c r="DQ75" s="427"/>
      <c r="DR75" s="427"/>
      <c r="DS75" s="427"/>
      <c r="DT75" s="427"/>
      <c r="DU75" s="427"/>
      <c r="DV75" s="427"/>
      <c r="DW75" s="427"/>
      <c r="DX75" s="427"/>
      <c r="DY75" s="427"/>
      <c r="DZ75" s="427"/>
      <c r="EA75" s="427"/>
      <c r="EB75" s="427"/>
      <c r="EC75" s="427"/>
      <c r="ED75" s="427"/>
      <c r="EE75" s="427"/>
      <c r="EF75" s="427"/>
      <c r="EG75" s="427"/>
      <c r="EH75" s="427"/>
      <c r="EI75" s="427"/>
      <c r="EJ75" s="427"/>
      <c r="EK75" s="427"/>
      <c r="EL75" s="427"/>
      <c r="EM75" s="427"/>
      <c r="EN75" s="427"/>
      <c r="EO75" s="427"/>
      <c r="EP75" s="427"/>
      <c r="EQ75" s="427"/>
      <c r="ER75" s="427"/>
      <c r="ES75" s="427"/>
      <c r="ET75" s="427"/>
      <c r="EU75" s="427"/>
      <c r="EV75" s="427"/>
      <c r="EW75" s="427"/>
      <c r="EX75" s="427"/>
      <c r="EY75" s="427"/>
      <c r="EZ75" s="427"/>
      <c r="FA75" s="427"/>
      <c r="FB75" s="427"/>
      <c r="FC75" s="427"/>
      <c r="FD75" s="427"/>
      <c r="FE75" s="427"/>
      <c r="FF75" s="427"/>
      <c r="FG75" s="427"/>
      <c r="FH75" s="427"/>
      <c r="FI75" s="427"/>
      <c r="FJ75" s="427"/>
      <c r="FK75" s="427"/>
      <c r="FL75" s="427"/>
      <c r="FM75" s="427"/>
      <c r="FN75" s="427"/>
      <c r="FO75" s="427"/>
      <c r="FP75" s="427"/>
      <c r="FQ75" s="427"/>
      <c r="FR75" s="427"/>
      <c r="FS75" s="427"/>
      <c r="FT75" s="427"/>
      <c r="FU75" s="427"/>
      <c r="FV75" s="427"/>
      <c r="FW75" s="427"/>
      <c r="FX75" s="427"/>
      <c r="FY75" s="427"/>
      <c r="FZ75" s="427"/>
      <c r="GA75" s="427"/>
      <c r="GB75" s="427"/>
      <c r="GC75" s="427"/>
      <c r="GD75" s="427"/>
      <c r="GE75" s="427"/>
      <c r="GF75" s="427"/>
      <c r="GG75" s="427"/>
      <c r="GH75" s="427"/>
      <c r="GI75" s="427"/>
      <c r="GJ75" s="427"/>
      <c r="GK75" s="427"/>
      <c r="GL75" s="427"/>
      <c r="GM75" s="427"/>
      <c r="GN75" s="427"/>
      <c r="GO75" s="427"/>
      <c r="GP75" s="427"/>
      <c r="GQ75" s="427"/>
      <c r="GR75" s="427"/>
      <c r="GS75" s="427"/>
      <c r="GT75" s="427"/>
      <c r="GU75" s="427"/>
      <c r="GV75" s="427"/>
      <c r="GW75" s="427"/>
      <c r="GX75" s="427"/>
      <c r="GY75" s="427"/>
      <c r="GZ75" s="427"/>
      <c r="HA75" s="427"/>
      <c r="HB75" s="427"/>
      <c r="HC75" s="427"/>
      <c r="HD75" s="427"/>
      <c r="HE75" s="427"/>
      <c r="HF75" s="427"/>
      <c r="HG75" s="427"/>
      <c r="HH75" s="427"/>
      <c r="HI75" s="427"/>
      <c r="HJ75" s="427"/>
      <c r="HK75" s="427"/>
      <c r="HL75" s="427"/>
      <c r="HM75" s="427"/>
      <c r="HN75" s="427"/>
      <c r="HO75" s="427"/>
      <c r="HP75" s="427"/>
      <c r="HQ75" s="427"/>
      <c r="HR75" s="427"/>
      <c r="HS75" s="427"/>
      <c r="HT75" s="427"/>
      <c r="HU75" s="427"/>
      <c r="HV75" s="427"/>
      <c r="HW75" s="427"/>
      <c r="HX75" s="427"/>
      <c r="HY75" s="427"/>
      <c r="HZ75" s="427"/>
      <c r="IA75" s="427"/>
      <c r="IB75" s="427"/>
      <c r="IC75" s="427"/>
      <c r="ID75" s="427"/>
      <c r="IE75" s="427"/>
      <c r="IF75" s="427"/>
      <c r="IG75" s="427"/>
      <c r="IH75" s="427"/>
      <c r="II75" s="427"/>
      <c r="IJ75" s="427"/>
      <c r="IK75" s="427"/>
      <c r="IL75" s="427"/>
      <c r="IM75" s="427"/>
      <c r="IN75" s="427"/>
      <c r="IO75" s="427"/>
      <c r="IP75" s="427"/>
      <c r="IQ75" s="427"/>
      <c r="IR75" s="427"/>
      <c r="IS75" s="427"/>
      <c r="IT75" s="427"/>
      <c r="IU75" s="427"/>
      <c r="IV75" s="427"/>
    </row>
    <row r="76" spans="1:256" s="428" customFormat="1" ht="12" customHeight="1">
      <c r="A76" s="21" t="s">
        <v>271</v>
      </c>
      <c r="B76" s="145">
        <f>B39-B12</f>
        <v>157.27334270075153</v>
      </c>
      <c r="C76" s="145">
        <f>C39-C12</f>
        <v>187.46301483671414</v>
      </c>
      <c r="D76" s="145">
        <f>D39-D12</f>
        <v>320.15229792330683</v>
      </c>
      <c r="E76" s="145">
        <f t="shared" ref="E76:U76" si="18">E39</f>
        <v>15887.946289068132</v>
      </c>
      <c r="F76" s="145">
        <f t="shared" si="18"/>
        <v>18219.250836348998</v>
      </c>
      <c r="G76" s="145">
        <f t="shared" si="18"/>
        <v>19327.388562229535</v>
      </c>
      <c r="H76" s="145">
        <f t="shared" si="18"/>
        <v>20458.895914033419</v>
      </c>
      <c r="I76" s="145">
        <f t="shared" si="18"/>
        <v>21691.119919939876</v>
      </c>
      <c r="J76" s="145">
        <f t="shared" si="18"/>
        <v>23176.427556344439</v>
      </c>
      <c r="K76" s="145">
        <f t="shared" si="18"/>
        <v>24831.951836314322</v>
      </c>
      <c r="L76" s="145">
        <f t="shared" si="18"/>
        <v>25982.724346895622</v>
      </c>
      <c r="M76" s="145">
        <f t="shared" si="18"/>
        <v>27369.158562334116</v>
      </c>
      <c r="N76" s="145">
        <f t="shared" si="18"/>
        <v>28804.657214989693</v>
      </c>
      <c r="O76" s="145">
        <f t="shared" si="18"/>
        <v>30222.855143577435</v>
      </c>
      <c r="P76" s="145">
        <f t="shared" si="18"/>
        <v>31657.411999979064</v>
      </c>
      <c r="Q76" s="145">
        <f t="shared" si="18"/>
        <v>33240.663031923716</v>
      </c>
      <c r="R76" s="145">
        <f t="shared" si="18"/>
        <v>34890.030239033935</v>
      </c>
      <c r="S76" s="145">
        <f t="shared" si="18"/>
        <v>36489.395118075285</v>
      </c>
      <c r="T76" s="145">
        <f t="shared" si="18"/>
        <v>37960.28631204999</v>
      </c>
      <c r="U76" s="145">
        <f t="shared" si="18"/>
        <v>39437.358742410572</v>
      </c>
      <c r="V76" s="433"/>
      <c r="W76" s="433"/>
      <c r="X76" s="433"/>
      <c r="Y76" s="433"/>
      <c r="Z76" s="433"/>
      <c r="AA76" s="433"/>
      <c r="AB76" s="433"/>
      <c r="AC76" s="424"/>
      <c r="AD76" s="424"/>
      <c r="AE76" s="426"/>
      <c r="AF76" s="426"/>
      <c r="AG76" s="426"/>
      <c r="AH76" s="427"/>
      <c r="AI76" s="427"/>
      <c r="AJ76" s="427"/>
      <c r="AK76" s="427"/>
      <c r="AL76" s="427"/>
      <c r="AM76" s="427"/>
      <c r="AN76" s="427"/>
      <c r="AO76" s="427"/>
      <c r="AP76" s="427"/>
      <c r="AQ76" s="427"/>
      <c r="AR76" s="427"/>
      <c r="AS76" s="427"/>
      <c r="AT76" s="427"/>
      <c r="AU76" s="427"/>
      <c r="AV76" s="427"/>
      <c r="AW76" s="427"/>
      <c r="AX76" s="427"/>
      <c r="AY76" s="427"/>
      <c r="AZ76" s="427"/>
      <c r="BA76" s="427"/>
      <c r="BB76" s="427"/>
      <c r="BC76" s="427"/>
      <c r="BD76" s="427"/>
      <c r="BE76" s="427"/>
      <c r="BF76" s="427"/>
      <c r="BG76" s="427"/>
      <c r="BH76" s="427"/>
      <c r="BI76" s="427"/>
      <c r="BJ76" s="427"/>
      <c r="BK76" s="427"/>
      <c r="BL76" s="427"/>
      <c r="BM76" s="427"/>
      <c r="BN76" s="427"/>
      <c r="BO76" s="427"/>
      <c r="BP76" s="427"/>
      <c r="BQ76" s="427"/>
      <c r="BR76" s="427"/>
      <c r="BS76" s="427"/>
      <c r="BT76" s="427"/>
      <c r="BU76" s="427"/>
      <c r="BV76" s="427"/>
      <c r="BW76" s="427"/>
      <c r="BX76" s="427"/>
      <c r="BY76" s="427"/>
      <c r="BZ76" s="427"/>
      <c r="CA76" s="427"/>
      <c r="CB76" s="427"/>
      <c r="CC76" s="427"/>
      <c r="CD76" s="427"/>
      <c r="CE76" s="427"/>
      <c r="CF76" s="427"/>
      <c r="CG76" s="427"/>
      <c r="CH76" s="427"/>
      <c r="CI76" s="427"/>
      <c r="CJ76" s="427"/>
      <c r="CK76" s="427"/>
      <c r="CL76" s="427"/>
      <c r="CM76" s="427"/>
      <c r="CN76" s="427"/>
      <c r="CO76" s="427"/>
      <c r="CP76" s="427"/>
      <c r="CQ76" s="427"/>
      <c r="CR76" s="427"/>
      <c r="CS76" s="427"/>
      <c r="CT76" s="427"/>
      <c r="CU76" s="427"/>
      <c r="CV76" s="427"/>
      <c r="CW76" s="427"/>
      <c r="CX76" s="427"/>
      <c r="CY76" s="427"/>
      <c r="CZ76" s="427"/>
      <c r="DA76" s="427"/>
      <c r="DB76" s="427"/>
      <c r="DC76" s="427"/>
      <c r="DD76" s="427"/>
      <c r="DE76" s="427"/>
      <c r="DF76" s="427"/>
      <c r="DG76" s="427"/>
      <c r="DH76" s="427"/>
      <c r="DI76" s="427"/>
      <c r="DJ76" s="427"/>
      <c r="DK76" s="427"/>
      <c r="DL76" s="427"/>
      <c r="DM76" s="427"/>
      <c r="DN76" s="427"/>
      <c r="DO76" s="427"/>
      <c r="DP76" s="427"/>
      <c r="DQ76" s="427"/>
      <c r="DR76" s="427"/>
      <c r="DS76" s="427"/>
      <c r="DT76" s="427"/>
      <c r="DU76" s="427"/>
      <c r="DV76" s="427"/>
      <c r="DW76" s="427"/>
      <c r="DX76" s="427"/>
      <c r="DY76" s="427"/>
      <c r="DZ76" s="427"/>
      <c r="EA76" s="427"/>
      <c r="EB76" s="427"/>
      <c r="EC76" s="427"/>
      <c r="ED76" s="427"/>
      <c r="EE76" s="427"/>
      <c r="EF76" s="427"/>
      <c r="EG76" s="427"/>
      <c r="EH76" s="427"/>
      <c r="EI76" s="427"/>
      <c r="EJ76" s="427"/>
      <c r="EK76" s="427"/>
      <c r="EL76" s="427"/>
      <c r="EM76" s="427"/>
      <c r="EN76" s="427"/>
      <c r="EO76" s="427"/>
      <c r="EP76" s="427"/>
      <c r="EQ76" s="427"/>
      <c r="ER76" s="427"/>
      <c r="ES76" s="427"/>
      <c r="ET76" s="427"/>
      <c r="EU76" s="427"/>
      <c r="EV76" s="427"/>
      <c r="EW76" s="427"/>
      <c r="EX76" s="427"/>
      <c r="EY76" s="427"/>
      <c r="EZ76" s="427"/>
      <c r="FA76" s="427"/>
      <c r="FB76" s="427"/>
      <c r="FC76" s="427"/>
      <c r="FD76" s="427"/>
      <c r="FE76" s="427"/>
      <c r="FF76" s="427"/>
      <c r="FG76" s="427"/>
      <c r="FH76" s="427"/>
      <c r="FI76" s="427"/>
      <c r="FJ76" s="427"/>
      <c r="FK76" s="427"/>
      <c r="FL76" s="427"/>
      <c r="FM76" s="427"/>
      <c r="FN76" s="427"/>
      <c r="FO76" s="427"/>
      <c r="FP76" s="427"/>
      <c r="FQ76" s="427"/>
      <c r="FR76" s="427"/>
      <c r="FS76" s="427"/>
      <c r="FT76" s="427"/>
      <c r="FU76" s="427"/>
      <c r="FV76" s="427"/>
      <c r="FW76" s="427"/>
      <c r="FX76" s="427"/>
      <c r="FY76" s="427"/>
      <c r="FZ76" s="427"/>
      <c r="GA76" s="427"/>
      <c r="GB76" s="427"/>
      <c r="GC76" s="427"/>
      <c r="GD76" s="427"/>
      <c r="GE76" s="427"/>
      <c r="GF76" s="427"/>
      <c r="GG76" s="427"/>
      <c r="GH76" s="427"/>
      <c r="GI76" s="427"/>
      <c r="GJ76" s="427"/>
      <c r="GK76" s="427"/>
      <c r="GL76" s="427"/>
      <c r="GM76" s="427"/>
      <c r="GN76" s="427"/>
      <c r="GO76" s="427"/>
      <c r="GP76" s="427"/>
      <c r="GQ76" s="427"/>
      <c r="GR76" s="427"/>
      <c r="GS76" s="427"/>
      <c r="GT76" s="427"/>
      <c r="GU76" s="427"/>
      <c r="GV76" s="427"/>
      <c r="GW76" s="427"/>
      <c r="GX76" s="427"/>
      <c r="GY76" s="427"/>
      <c r="GZ76" s="427"/>
      <c r="HA76" s="427"/>
      <c r="HB76" s="427"/>
      <c r="HC76" s="427"/>
      <c r="HD76" s="427"/>
      <c r="HE76" s="427"/>
      <c r="HF76" s="427"/>
      <c r="HG76" s="427"/>
      <c r="HH76" s="427"/>
      <c r="HI76" s="427"/>
      <c r="HJ76" s="427"/>
      <c r="HK76" s="427"/>
      <c r="HL76" s="427"/>
      <c r="HM76" s="427"/>
      <c r="HN76" s="427"/>
      <c r="HO76" s="427"/>
      <c r="HP76" s="427"/>
      <c r="HQ76" s="427"/>
      <c r="HR76" s="427"/>
      <c r="HS76" s="427"/>
      <c r="HT76" s="427"/>
      <c r="HU76" s="427"/>
      <c r="HV76" s="427"/>
      <c r="HW76" s="427"/>
      <c r="HX76" s="427"/>
      <c r="HY76" s="427"/>
      <c r="HZ76" s="427"/>
      <c r="IA76" s="427"/>
      <c r="IB76" s="427"/>
      <c r="IC76" s="427"/>
      <c r="ID76" s="427"/>
      <c r="IE76" s="427"/>
      <c r="IF76" s="427"/>
      <c r="IG76" s="427"/>
      <c r="IH76" s="427"/>
      <c r="II76" s="427"/>
      <c r="IJ76" s="427"/>
      <c r="IK76" s="427"/>
      <c r="IL76" s="427"/>
      <c r="IM76" s="427"/>
      <c r="IN76" s="427"/>
      <c r="IO76" s="427"/>
      <c r="IP76" s="427"/>
      <c r="IQ76" s="427"/>
      <c r="IR76" s="427"/>
      <c r="IS76" s="427"/>
      <c r="IT76" s="427"/>
      <c r="IU76" s="427"/>
      <c r="IV76" s="427"/>
    </row>
    <row r="77" spans="1:256" s="429" customFormat="1" ht="12" customHeight="1">
      <c r="A77" s="21" t="s">
        <v>173</v>
      </c>
      <c r="B77" s="434">
        <f>Assumptions!$H$39</f>
        <v>3.4000000000000002E-2</v>
      </c>
      <c r="C77" s="434">
        <f>Assumptions!$H$39</f>
        <v>3.4000000000000002E-2</v>
      </c>
      <c r="D77" s="434">
        <f>Assumptions!$H$39</f>
        <v>3.4000000000000002E-2</v>
      </c>
      <c r="E77" s="434">
        <f>Assumptions!$H$39</f>
        <v>3.4000000000000002E-2</v>
      </c>
      <c r="F77" s="434">
        <f>Assumptions!$H$39</f>
        <v>3.4000000000000002E-2</v>
      </c>
      <c r="G77" s="434">
        <f>Assumptions!$H$39</f>
        <v>3.4000000000000002E-2</v>
      </c>
      <c r="H77" s="434">
        <f>Assumptions!$H$39</f>
        <v>3.4000000000000002E-2</v>
      </c>
      <c r="I77" s="434">
        <f>Assumptions!$H$39</f>
        <v>3.4000000000000002E-2</v>
      </c>
      <c r="J77" s="434">
        <f>Assumptions!$H$39</f>
        <v>3.4000000000000002E-2</v>
      </c>
      <c r="K77" s="434">
        <f>Assumptions!$H$39</f>
        <v>3.4000000000000002E-2</v>
      </c>
      <c r="L77" s="434">
        <f>Assumptions!$H$39</f>
        <v>3.4000000000000002E-2</v>
      </c>
      <c r="M77" s="434">
        <f>Assumptions!$H$39</f>
        <v>3.4000000000000002E-2</v>
      </c>
      <c r="N77" s="434">
        <f>Assumptions!$H$39</f>
        <v>3.4000000000000002E-2</v>
      </c>
      <c r="O77" s="434">
        <f>Assumptions!$H$39</f>
        <v>3.4000000000000002E-2</v>
      </c>
      <c r="P77" s="434">
        <f>Assumptions!$H$39</f>
        <v>3.4000000000000002E-2</v>
      </c>
      <c r="Q77" s="434">
        <f>Assumptions!$H$39</f>
        <v>3.4000000000000002E-2</v>
      </c>
      <c r="R77" s="434">
        <f>Assumptions!$H$39</f>
        <v>3.4000000000000002E-2</v>
      </c>
      <c r="S77" s="434">
        <f>Assumptions!$H$39</f>
        <v>3.4000000000000002E-2</v>
      </c>
      <c r="T77" s="434">
        <f>Assumptions!$H$39</f>
        <v>3.4000000000000002E-2</v>
      </c>
      <c r="U77" s="434">
        <f>Assumptions!$H$39</f>
        <v>3.4000000000000002E-2</v>
      </c>
      <c r="V77" s="434"/>
      <c r="W77" s="434"/>
      <c r="X77" s="434"/>
      <c r="Y77" s="434"/>
      <c r="Z77" s="434"/>
      <c r="AA77" s="434"/>
      <c r="AB77" s="434"/>
      <c r="AC77" s="426"/>
      <c r="AD77" s="426"/>
      <c r="AE77" s="426"/>
      <c r="AF77" s="426"/>
      <c r="AG77" s="426"/>
      <c r="AH77" s="427"/>
      <c r="AI77" s="427"/>
      <c r="AJ77" s="427"/>
      <c r="AK77" s="427"/>
      <c r="AL77" s="427"/>
      <c r="AM77" s="427"/>
      <c r="AN77" s="427"/>
      <c r="AO77" s="427"/>
      <c r="AP77" s="427"/>
      <c r="AQ77" s="427"/>
      <c r="AR77" s="427"/>
      <c r="AS77" s="427"/>
      <c r="AT77" s="427"/>
      <c r="AU77" s="427"/>
      <c r="AV77" s="427"/>
      <c r="AW77" s="427"/>
      <c r="AX77" s="427"/>
      <c r="AY77" s="427"/>
      <c r="AZ77" s="427"/>
      <c r="BA77" s="427"/>
      <c r="BB77" s="427"/>
      <c r="BC77" s="427"/>
      <c r="BD77" s="427"/>
      <c r="BE77" s="427"/>
      <c r="BF77" s="427"/>
      <c r="BG77" s="427"/>
      <c r="BH77" s="427"/>
      <c r="BI77" s="427"/>
      <c r="BJ77" s="427"/>
      <c r="BK77" s="427"/>
      <c r="BL77" s="427"/>
      <c r="BM77" s="427"/>
      <c r="BN77" s="427"/>
      <c r="BO77" s="427"/>
      <c r="BP77" s="427"/>
      <c r="BQ77" s="427"/>
      <c r="BR77" s="427"/>
      <c r="BS77" s="427"/>
      <c r="BT77" s="427"/>
      <c r="BU77" s="427"/>
      <c r="BV77" s="427"/>
      <c r="BW77" s="427"/>
      <c r="BX77" s="427"/>
      <c r="BY77" s="427"/>
      <c r="BZ77" s="427"/>
      <c r="CA77" s="427"/>
      <c r="CB77" s="427"/>
      <c r="CC77" s="427"/>
      <c r="CD77" s="427"/>
      <c r="CE77" s="427"/>
      <c r="CF77" s="427"/>
      <c r="CG77" s="427"/>
      <c r="CH77" s="427"/>
      <c r="CI77" s="427"/>
      <c r="CJ77" s="427"/>
      <c r="CK77" s="427"/>
      <c r="CL77" s="427"/>
      <c r="CM77" s="427"/>
      <c r="CN77" s="427"/>
      <c r="CO77" s="427"/>
      <c r="CP77" s="427"/>
      <c r="CQ77" s="427"/>
      <c r="CR77" s="427"/>
      <c r="CS77" s="427"/>
      <c r="CT77" s="427"/>
      <c r="CU77" s="427"/>
      <c r="CV77" s="427"/>
      <c r="CW77" s="427"/>
      <c r="CX77" s="427"/>
      <c r="CY77" s="427"/>
      <c r="CZ77" s="427"/>
      <c r="DA77" s="427"/>
      <c r="DB77" s="427"/>
      <c r="DC77" s="427"/>
      <c r="DD77" s="427"/>
      <c r="DE77" s="427"/>
      <c r="DF77" s="427"/>
      <c r="DG77" s="427"/>
      <c r="DH77" s="427"/>
      <c r="DI77" s="427"/>
      <c r="DJ77" s="427"/>
      <c r="DK77" s="427"/>
      <c r="DL77" s="427"/>
      <c r="DM77" s="427"/>
      <c r="DN77" s="427"/>
      <c r="DO77" s="427"/>
      <c r="DP77" s="427"/>
      <c r="DQ77" s="427"/>
      <c r="DR77" s="427"/>
      <c r="DS77" s="427"/>
      <c r="DT77" s="427"/>
      <c r="DU77" s="427"/>
      <c r="DV77" s="427"/>
      <c r="DW77" s="427"/>
      <c r="DX77" s="427"/>
      <c r="DY77" s="427"/>
      <c r="DZ77" s="427"/>
      <c r="EA77" s="427"/>
      <c r="EB77" s="427"/>
      <c r="EC77" s="427"/>
      <c r="ED77" s="427"/>
      <c r="EE77" s="427"/>
      <c r="EF77" s="427"/>
      <c r="EG77" s="427"/>
      <c r="EH77" s="427"/>
      <c r="EI77" s="427"/>
      <c r="EJ77" s="427"/>
      <c r="EK77" s="427"/>
      <c r="EL77" s="427"/>
      <c r="EM77" s="427"/>
      <c r="EN77" s="427"/>
      <c r="EO77" s="427"/>
      <c r="EP77" s="427"/>
      <c r="EQ77" s="427"/>
      <c r="ER77" s="427"/>
      <c r="ES77" s="427"/>
      <c r="ET77" s="427"/>
      <c r="EU77" s="427"/>
      <c r="EV77" s="427"/>
      <c r="EW77" s="427"/>
      <c r="EX77" s="427"/>
      <c r="EY77" s="427"/>
      <c r="EZ77" s="427"/>
      <c r="FA77" s="427"/>
      <c r="FB77" s="427"/>
      <c r="FC77" s="427"/>
      <c r="FD77" s="427"/>
      <c r="FE77" s="427"/>
      <c r="FF77" s="427"/>
      <c r="FG77" s="427"/>
      <c r="FH77" s="427"/>
      <c r="FI77" s="427"/>
      <c r="FJ77" s="427"/>
      <c r="FK77" s="427"/>
      <c r="FL77" s="427"/>
      <c r="FM77" s="427"/>
      <c r="FN77" s="427"/>
      <c r="FO77" s="427"/>
      <c r="FP77" s="427"/>
      <c r="FQ77" s="427"/>
      <c r="FR77" s="427"/>
      <c r="FS77" s="427"/>
      <c r="FT77" s="427"/>
      <c r="FU77" s="427"/>
      <c r="FV77" s="427"/>
      <c r="FW77" s="427"/>
      <c r="FX77" s="427"/>
      <c r="FY77" s="427"/>
      <c r="FZ77" s="427"/>
      <c r="GA77" s="427"/>
      <c r="GB77" s="427"/>
      <c r="GC77" s="427"/>
      <c r="GD77" s="427"/>
      <c r="GE77" s="427"/>
      <c r="GF77" s="427"/>
      <c r="GG77" s="427"/>
      <c r="GH77" s="427"/>
      <c r="GI77" s="427"/>
      <c r="GJ77" s="427"/>
      <c r="GK77" s="427"/>
      <c r="GL77" s="427"/>
      <c r="GM77" s="427"/>
      <c r="GN77" s="427"/>
      <c r="GO77" s="427"/>
      <c r="GP77" s="427"/>
      <c r="GQ77" s="427"/>
      <c r="GR77" s="427"/>
      <c r="GS77" s="427"/>
      <c r="GT77" s="427"/>
      <c r="GU77" s="427"/>
      <c r="GV77" s="427"/>
      <c r="GW77" s="427"/>
      <c r="GX77" s="427"/>
      <c r="GY77" s="427"/>
      <c r="GZ77" s="427"/>
      <c r="HA77" s="427"/>
      <c r="HB77" s="427"/>
      <c r="HC77" s="427"/>
      <c r="HD77" s="427"/>
      <c r="HE77" s="427"/>
      <c r="HF77" s="427"/>
      <c r="HG77" s="427"/>
      <c r="HH77" s="427"/>
      <c r="HI77" s="427"/>
      <c r="HJ77" s="427"/>
      <c r="HK77" s="427"/>
      <c r="HL77" s="427"/>
      <c r="HM77" s="427"/>
      <c r="HN77" s="427"/>
      <c r="HO77" s="427"/>
      <c r="HP77" s="427"/>
      <c r="HQ77" s="427"/>
      <c r="HR77" s="427"/>
      <c r="HS77" s="427"/>
      <c r="HT77" s="427"/>
      <c r="HU77" s="427"/>
      <c r="HV77" s="427"/>
      <c r="HW77" s="427"/>
      <c r="HX77" s="427"/>
      <c r="HY77" s="427"/>
      <c r="HZ77" s="427"/>
      <c r="IA77" s="427"/>
      <c r="IB77" s="427"/>
      <c r="IC77" s="427"/>
      <c r="ID77" s="427"/>
      <c r="IE77" s="427"/>
      <c r="IF77" s="427"/>
      <c r="IG77" s="427"/>
      <c r="IH77" s="427"/>
      <c r="II77" s="427"/>
      <c r="IJ77" s="427"/>
      <c r="IK77" s="427"/>
      <c r="IL77" s="427"/>
      <c r="IM77" s="427"/>
      <c r="IN77" s="427"/>
      <c r="IO77" s="427"/>
      <c r="IP77" s="427"/>
      <c r="IQ77" s="427"/>
      <c r="IR77" s="427"/>
      <c r="IS77" s="427"/>
    </row>
    <row r="78" spans="1:256" s="429" customFormat="1" ht="12" customHeight="1">
      <c r="A78" s="21" t="s">
        <v>174</v>
      </c>
      <c r="B78" s="22">
        <f>B76*B77</f>
        <v>5.3472936518255523</v>
      </c>
      <c r="C78" s="22">
        <f t="shared" ref="C78:U78" si="19">C76*C77</f>
        <v>6.3737425044482814</v>
      </c>
      <c r="D78" s="22">
        <f t="shared" si="19"/>
        <v>10.885178129392433</v>
      </c>
      <c r="E78" s="22">
        <f t="shared" si="19"/>
        <v>540.19017382831646</v>
      </c>
      <c r="F78" s="22">
        <f t="shared" si="19"/>
        <v>619.454528435866</v>
      </c>
      <c r="G78" s="22">
        <f t="shared" si="19"/>
        <v>657.13121111580426</v>
      </c>
      <c r="H78" s="22">
        <f t="shared" si="19"/>
        <v>695.60246107713635</v>
      </c>
      <c r="I78" s="22">
        <f t="shared" si="19"/>
        <v>737.49807727795587</v>
      </c>
      <c r="J78" s="22">
        <f t="shared" si="19"/>
        <v>787.99853691571093</v>
      </c>
      <c r="K78" s="22">
        <f t="shared" si="19"/>
        <v>844.28636243468702</v>
      </c>
      <c r="L78" s="22">
        <f t="shared" si="19"/>
        <v>883.41262779445117</v>
      </c>
      <c r="M78" s="22">
        <f t="shared" si="19"/>
        <v>930.55139111936001</v>
      </c>
      <c r="N78" s="22">
        <f t="shared" si="19"/>
        <v>979.35834530964962</v>
      </c>
      <c r="O78" s="22">
        <f t="shared" si="19"/>
        <v>1027.5770748816328</v>
      </c>
      <c r="P78" s="22">
        <f t="shared" si="19"/>
        <v>1076.3520079992882</v>
      </c>
      <c r="Q78" s="22">
        <f t="shared" si="19"/>
        <v>1130.1825430854065</v>
      </c>
      <c r="R78" s="22">
        <f t="shared" si="19"/>
        <v>1186.2610281271538</v>
      </c>
      <c r="S78" s="22">
        <f t="shared" si="19"/>
        <v>1240.6394340145598</v>
      </c>
      <c r="T78" s="22">
        <f t="shared" si="19"/>
        <v>1290.6497346096996</v>
      </c>
      <c r="U78" s="22">
        <f t="shared" si="19"/>
        <v>1340.8701972419594</v>
      </c>
      <c r="V78" s="435"/>
      <c r="W78" s="435"/>
      <c r="X78" s="435"/>
      <c r="Y78" s="435"/>
      <c r="Z78" s="435"/>
      <c r="AA78" s="435"/>
      <c r="AB78" s="435"/>
      <c r="AC78" s="424"/>
      <c r="AD78" s="426"/>
      <c r="AE78" s="426"/>
      <c r="AF78" s="426"/>
      <c r="AG78" s="426"/>
      <c r="AH78" s="427"/>
      <c r="AI78" s="427"/>
      <c r="AJ78" s="427"/>
      <c r="AK78" s="427"/>
      <c r="AL78" s="427"/>
      <c r="AM78" s="427"/>
      <c r="AN78" s="427"/>
      <c r="AO78" s="427"/>
      <c r="AP78" s="427"/>
      <c r="AQ78" s="427"/>
      <c r="AR78" s="427"/>
      <c r="AS78" s="427"/>
      <c r="AT78" s="427"/>
      <c r="AU78" s="427"/>
      <c r="AV78" s="427"/>
      <c r="AW78" s="427"/>
      <c r="AX78" s="427"/>
      <c r="AY78" s="427"/>
      <c r="AZ78" s="427"/>
      <c r="BA78" s="427"/>
      <c r="BB78" s="427"/>
      <c r="BC78" s="427"/>
      <c r="BD78" s="427"/>
      <c r="BE78" s="427"/>
      <c r="BF78" s="427"/>
      <c r="BG78" s="427"/>
      <c r="BH78" s="427"/>
      <c r="BI78" s="427"/>
      <c r="BJ78" s="427"/>
      <c r="BK78" s="427"/>
      <c r="BL78" s="427"/>
      <c r="BM78" s="427"/>
      <c r="BN78" s="427"/>
      <c r="BO78" s="427"/>
      <c r="BP78" s="427"/>
      <c r="BQ78" s="427"/>
      <c r="BR78" s="427"/>
      <c r="BS78" s="427"/>
      <c r="BT78" s="427"/>
      <c r="BU78" s="427"/>
      <c r="BV78" s="427"/>
      <c r="BW78" s="427"/>
      <c r="BX78" s="427"/>
      <c r="BY78" s="427"/>
      <c r="BZ78" s="427"/>
      <c r="CA78" s="427"/>
      <c r="CB78" s="427"/>
      <c r="CC78" s="427"/>
      <c r="CD78" s="427"/>
      <c r="CE78" s="427"/>
      <c r="CF78" s="427"/>
      <c r="CG78" s="427"/>
      <c r="CH78" s="427"/>
      <c r="CI78" s="427"/>
      <c r="CJ78" s="427"/>
      <c r="CK78" s="427"/>
      <c r="CL78" s="427"/>
      <c r="CM78" s="427"/>
      <c r="CN78" s="427"/>
      <c r="CO78" s="427"/>
      <c r="CP78" s="427"/>
      <c r="CQ78" s="427"/>
      <c r="CR78" s="427"/>
      <c r="CS78" s="427"/>
      <c r="CT78" s="427"/>
      <c r="CU78" s="427"/>
      <c r="CV78" s="427"/>
      <c r="CW78" s="427"/>
      <c r="CX78" s="427"/>
      <c r="CY78" s="427"/>
      <c r="CZ78" s="427"/>
      <c r="DA78" s="427"/>
      <c r="DB78" s="427"/>
      <c r="DC78" s="427"/>
      <c r="DD78" s="427"/>
      <c r="DE78" s="427"/>
      <c r="DF78" s="427"/>
      <c r="DG78" s="427"/>
      <c r="DH78" s="427"/>
      <c r="DI78" s="427"/>
      <c r="DJ78" s="427"/>
      <c r="DK78" s="427"/>
      <c r="DL78" s="427"/>
      <c r="DM78" s="427"/>
      <c r="DN78" s="427"/>
      <c r="DO78" s="427"/>
      <c r="DP78" s="427"/>
      <c r="DQ78" s="427"/>
      <c r="DR78" s="427"/>
      <c r="DS78" s="427"/>
      <c r="DT78" s="427"/>
      <c r="DU78" s="427"/>
      <c r="DV78" s="427"/>
      <c r="DW78" s="427"/>
      <c r="DX78" s="427"/>
      <c r="DY78" s="427"/>
      <c r="DZ78" s="427"/>
      <c r="EA78" s="427"/>
      <c r="EB78" s="427"/>
      <c r="EC78" s="427"/>
      <c r="ED78" s="427"/>
      <c r="EE78" s="427"/>
      <c r="EF78" s="427"/>
      <c r="EG78" s="427"/>
      <c r="EH78" s="427"/>
      <c r="EI78" s="427"/>
      <c r="EJ78" s="427"/>
      <c r="EK78" s="427"/>
      <c r="EL78" s="427"/>
      <c r="EM78" s="427"/>
      <c r="EN78" s="427"/>
      <c r="EO78" s="427"/>
      <c r="EP78" s="427"/>
      <c r="EQ78" s="427"/>
      <c r="ER78" s="427"/>
      <c r="ES78" s="427"/>
      <c r="ET78" s="427"/>
      <c r="EU78" s="427"/>
      <c r="EV78" s="427"/>
      <c r="EW78" s="427"/>
      <c r="EX78" s="427"/>
      <c r="EY78" s="427"/>
      <c r="EZ78" s="427"/>
      <c r="FA78" s="427"/>
      <c r="FB78" s="427"/>
      <c r="FC78" s="427"/>
      <c r="FD78" s="427"/>
      <c r="FE78" s="427"/>
      <c r="FF78" s="427"/>
      <c r="FG78" s="427"/>
      <c r="FH78" s="427"/>
      <c r="FI78" s="427"/>
      <c r="FJ78" s="427"/>
      <c r="FK78" s="427"/>
      <c r="FL78" s="427"/>
      <c r="FM78" s="427"/>
      <c r="FN78" s="427"/>
      <c r="FO78" s="427"/>
      <c r="FP78" s="427"/>
      <c r="FQ78" s="427"/>
      <c r="FR78" s="427"/>
      <c r="FS78" s="427"/>
      <c r="FT78" s="427"/>
      <c r="FU78" s="427"/>
      <c r="FV78" s="427"/>
      <c r="FW78" s="427"/>
      <c r="FX78" s="427"/>
      <c r="FY78" s="427"/>
      <c r="FZ78" s="427"/>
      <c r="GA78" s="427"/>
      <c r="GB78" s="427"/>
      <c r="GC78" s="427"/>
      <c r="GD78" s="427"/>
      <c r="GE78" s="427"/>
      <c r="GF78" s="427"/>
      <c r="GG78" s="427"/>
      <c r="GH78" s="427"/>
      <c r="GI78" s="427"/>
      <c r="GJ78" s="427"/>
      <c r="GK78" s="427"/>
      <c r="GL78" s="427"/>
      <c r="GM78" s="427"/>
      <c r="GN78" s="427"/>
      <c r="GO78" s="427"/>
      <c r="GP78" s="427"/>
      <c r="GQ78" s="427"/>
      <c r="GR78" s="427"/>
      <c r="GS78" s="427"/>
      <c r="GT78" s="427"/>
      <c r="GU78" s="427"/>
      <c r="GV78" s="427"/>
      <c r="GW78" s="427"/>
      <c r="GX78" s="427"/>
      <c r="GY78" s="427"/>
      <c r="GZ78" s="427"/>
      <c r="HA78" s="427"/>
      <c r="HB78" s="427"/>
      <c r="HC78" s="427"/>
      <c r="HD78" s="427"/>
      <c r="HE78" s="427"/>
      <c r="HF78" s="427"/>
      <c r="HG78" s="427"/>
      <c r="HH78" s="427"/>
      <c r="HI78" s="427"/>
      <c r="HJ78" s="427"/>
      <c r="HK78" s="427"/>
      <c r="HL78" s="427"/>
      <c r="HM78" s="427"/>
      <c r="HN78" s="427"/>
      <c r="HO78" s="427"/>
      <c r="HP78" s="427"/>
      <c r="HQ78" s="427"/>
      <c r="HR78" s="427"/>
      <c r="HS78" s="427"/>
      <c r="HT78" s="427"/>
      <c r="HU78" s="427"/>
      <c r="HV78" s="427"/>
      <c r="HW78" s="427"/>
      <c r="HX78" s="427"/>
      <c r="HY78" s="427"/>
      <c r="HZ78" s="427"/>
      <c r="IA78" s="427"/>
      <c r="IB78" s="427"/>
      <c r="IC78" s="427"/>
      <c r="ID78" s="427"/>
      <c r="IE78" s="427"/>
      <c r="IF78" s="427"/>
      <c r="IG78" s="427"/>
      <c r="IH78" s="427"/>
      <c r="II78" s="427"/>
      <c r="IJ78" s="427"/>
      <c r="IK78" s="427"/>
      <c r="IL78" s="427"/>
      <c r="IM78" s="427"/>
      <c r="IN78" s="427"/>
      <c r="IO78" s="427"/>
      <c r="IP78" s="427"/>
      <c r="IQ78" s="427"/>
      <c r="IR78" s="427"/>
      <c r="IS78" s="427"/>
      <c r="IT78" s="427"/>
      <c r="IU78" s="427"/>
    </row>
    <row r="79" spans="1:256" s="429" customFormat="1" ht="12" customHeight="1">
      <c r="A79" s="424"/>
      <c r="B79" s="17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432"/>
      <c r="AD79" s="432"/>
      <c r="AE79" s="424"/>
      <c r="AF79" s="424"/>
      <c r="AG79" s="424"/>
    </row>
    <row r="80" spans="1:256" s="428" customFormat="1" ht="12" customHeight="1">
      <c r="A80" s="225" t="s">
        <v>88</v>
      </c>
      <c r="B80" s="17"/>
      <c r="C80" s="17"/>
      <c r="D80" s="436"/>
      <c r="E80" s="436"/>
      <c r="F80" s="436"/>
      <c r="G80" s="436"/>
      <c r="H80" s="436"/>
      <c r="I80" s="436"/>
      <c r="J80" s="436"/>
      <c r="K80" s="436"/>
      <c r="L80" s="436"/>
      <c r="M80" s="436"/>
      <c r="N80" s="436"/>
      <c r="O80" s="436"/>
      <c r="P80" s="436"/>
      <c r="Q80" s="436"/>
      <c r="R80" s="436"/>
      <c r="S80" s="436"/>
      <c r="T80" s="436"/>
      <c r="U80" s="436"/>
      <c r="V80" s="436"/>
      <c r="W80" s="436"/>
      <c r="X80" s="436"/>
      <c r="Y80" s="436"/>
      <c r="Z80" s="436"/>
      <c r="AA80" s="436"/>
      <c r="AB80" s="436"/>
      <c r="AC80" s="424"/>
      <c r="AD80" s="424"/>
      <c r="AE80" s="426"/>
      <c r="AF80" s="426"/>
      <c r="AG80" s="426"/>
      <c r="AH80" s="427"/>
      <c r="AI80" s="427"/>
      <c r="AJ80" s="427"/>
      <c r="AK80" s="427"/>
      <c r="AL80" s="427"/>
      <c r="AM80" s="427"/>
      <c r="AN80" s="427"/>
      <c r="AO80" s="427"/>
      <c r="AP80" s="427"/>
      <c r="AQ80" s="427"/>
      <c r="AR80" s="427"/>
      <c r="AS80" s="427"/>
      <c r="AT80" s="427"/>
      <c r="AU80" s="427"/>
      <c r="AV80" s="427"/>
      <c r="AW80" s="427"/>
      <c r="AX80" s="427"/>
      <c r="AY80" s="427"/>
      <c r="AZ80" s="427"/>
      <c r="BA80" s="427"/>
      <c r="BB80" s="427"/>
      <c r="BC80" s="427"/>
      <c r="BD80" s="427"/>
      <c r="BE80" s="427"/>
      <c r="BF80" s="427"/>
      <c r="BG80" s="427"/>
      <c r="BH80" s="427"/>
      <c r="BI80" s="427"/>
      <c r="BJ80" s="427"/>
      <c r="BK80" s="427"/>
      <c r="BL80" s="427"/>
      <c r="BM80" s="427"/>
      <c r="BN80" s="427"/>
      <c r="BO80" s="427"/>
      <c r="BP80" s="427"/>
      <c r="BQ80" s="427"/>
      <c r="BR80" s="427"/>
      <c r="BS80" s="427"/>
      <c r="BT80" s="427"/>
      <c r="BU80" s="427"/>
      <c r="BV80" s="427"/>
      <c r="BW80" s="427"/>
      <c r="BX80" s="427"/>
      <c r="BY80" s="427"/>
      <c r="BZ80" s="427"/>
      <c r="CA80" s="427"/>
      <c r="CB80" s="427"/>
      <c r="CC80" s="427"/>
      <c r="CD80" s="427"/>
      <c r="CE80" s="427"/>
      <c r="CF80" s="427"/>
      <c r="CG80" s="427"/>
      <c r="CH80" s="427"/>
      <c r="CI80" s="427"/>
      <c r="CJ80" s="427"/>
      <c r="CK80" s="427"/>
      <c r="CL80" s="427"/>
      <c r="CM80" s="427"/>
      <c r="CN80" s="427"/>
      <c r="CO80" s="427"/>
      <c r="CP80" s="427"/>
      <c r="CQ80" s="427"/>
      <c r="CR80" s="427"/>
      <c r="CS80" s="427"/>
      <c r="CT80" s="427"/>
      <c r="CU80" s="427"/>
      <c r="CV80" s="427"/>
      <c r="CW80" s="427"/>
      <c r="CX80" s="427"/>
      <c r="CY80" s="427"/>
      <c r="CZ80" s="427"/>
      <c r="DA80" s="427"/>
      <c r="DB80" s="427"/>
      <c r="DC80" s="427"/>
      <c r="DD80" s="427"/>
      <c r="DE80" s="427"/>
      <c r="DF80" s="427"/>
      <c r="DG80" s="427"/>
      <c r="DH80" s="427"/>
      <c r="DI80" s="427"/>
      <c r="DJ80" s="427"/>
      <c r="DK80" s="427"/>
      <c r="DL80" s="427"/>
      <c r="DM80" s="427"/>
      <c r="DN80" s="427"/>
      <c r="DO80" s="427"/>
      <c r="DP80" s="427"/>
      <c r="DQ80" s="427"/>
      <c r="DR80" s="427"/>
      <c r="DS80" s="427"/>
      <c r="DT80" s="427"/>
      <c r="DU80" s="427"/>
      <c r="DV80" s="427"/>
      <c r="DW80" s="427"/>
      <c r="DX80" s="427"/>
      <c r="DY80" s="427"/>
      <c r="DZ80" s="427"/>
      <c r="EA80" s="427"/>
      <c r="EB80" s="427"/>
      <c r="EC80" s="427"/>
      <c r="ED80" s="427"/>
      <c r="EE80" s="427"/>
      <c r="EF80" s="427"/>
      <c r="EG80" s="427"/>
      <c r="EH80" s="427"/>
      <c r="EI80" s="427"/>
      <c r="EJ80" s="427"/>
      <c r="EK80" s="427"/>
      <c r="EL80" s="427"/>
      <c r="EM80" s="427"/>
      <c r="EN80" s="427"/>
      <c r="EO80" s="427"/>
      <c r="EP80" s="427"/>
      <c r="EQ80" s="427"/>
      <c r="ER80" s="427"/>
      <c r="ES80" s="427"/>
      <c r="ET80" s="427"/>
      <c r="EU80" s="427"/>
      <c r="EV80" s="427"/>
      <c r="EW80" s="427"/>
      <c r="EX80" s="427"/>
      <c r="EY80" s="427"/>
      <c r="EZ80" s="427"/>
      <c r="FA80" s="427"/>
      <c r="FB80" s="427"/>
      <c r="FC80" s="427"/>
      <c r="FD80" s="427"/>
      <c r="FE80" s="427"/>
      <c r="FF80" s="427"/>
      <c r="FG80" s="427"/>
      <c r="FH80" s="427"/>
      <c r="FI80" s="427"/>
      <c r="FJ80" s="427"/>
      <c r="FK80" s="427"/>
      <c r="FL80" s="427"/>
      <c r="FM80" s="427"/>
      <c r="FN80" s="427"/>
      <c r="FO80" s="427"/>
      <c r="FP80" s="427"/>
      <c r="FQ80" s="427"/>
      <c r="FR80" s="427"/>
      <c r="FS80" s="427"/>
      <c r="FT80" s="427"/>
      <c r="FU80" s="427"/>
      <c r="FV80" s="427"/>
      <c r="FW80" s="427"/>
      <c r="FX80" s="427"/>
      <c r="FY80" s="427"/>
      <c r="FZ80" s="427"/>
      <c r="GA80" s="427"/>
      <c r="GB80" s="427"/>
      <c r="GC80" s="427"/>
      <c r="GD80" s="427"/>
      <c r="GE80" s="427"/>
      <c r="GF80" s="427"/>
      <c r="GG80" s="427"/>
      <c r="GH80" s="427"/>
      <c r="GI80" s="427"/>
      <c r="GJ80" s="427"/>
      <c r="GK80" s="427"/>
      <c r="GL80" s="427"/>
      <c r="GM80" s="427"/>
      <c r="GN80" s="427"/>
      <c r="GO80" s="427"/>
      <c r="GP80" s="427"/>
      <c r="GQ80" s="427"/>
      <c r="GR80" s="427"/>
      <c r="GS80" s="427"/>
      <c r="GT80" s="427"/>
      <c r="GU80" s="427"/>
      <c r="GV80" s="427"/>
      <c r="GW80" s="427"/>
      <c r="GX80" s="427"/>
      <c r="GY80" s="427"/>
      <c r="GZ80" s="427"/>
      <c r="HA80" s="427"/>
      <c r="HB80" s="427"/>
      <c r="HC80" s="427"/>
      <c r="HD80" s="427"/>
      <c r="HE80" s="427"/>
      <c r="HF80" s="427"/>
      <c r="HG80" s="427"/>
      <c r="HH80" s="427"/>
      <c r="HI80" s="427"/>
      <c r="HJ80" s="427"/>
      <c r="HK80" s="427"/>
      <c r="HL80" s="427"/>
      <c r="HM80" s="427"/>
      <c r="HN80" s="427"/>
      <c r="HO80" s="427"/>
      <c r="HP80" s="427"/>
      <c r="HQ80" s="427"/>
      <c r="HR80" s="427"/>
      <c r="HS80" s="427"/>
      <c r="HT80" s="427"/>
      <c r="HU80" s="427"/>
      <c r="HV80" s="427"/>
      <c r="HW80" s="427"/>
      <c r="HX80" s="427"/>
      <c r="HY80" s="427"/>
      <c r="HZ80" s="427"/>
      <c r="IA80" s="427"/>
      <c r="IB80" s="427"/>
      <c r="IC80" s="427"/>
      <c r="ID80" s="427"/>
      <c r="IE80" s="427"/>
      <c r="IF80" s="427"/>
      <c r="IG80" s="427"/>
      <c r="IH80" s="427"/>
      <c r="II80" s="427"/>
      <c r="IJ80" s="427"/>
      <c r="IK80" s="427"/>
      <c r="IL80" s="427"/>
      <c r="IM80" s="427"/>
      <c r="IN80" s="427"/>
      <c r="IO80" s="427"/>
      <c r="IP80" s="427"/>
      <c r="IQ80" s="427"/>
      <c r="IR80" s="427"/>
      <c r="IS80" s="427"/>
      <c r="IT80" s="427"/>
      <c r="IU80" s="427"/>
      <c r="IV80" s="427"/>
    </row>
    <row r="81" spans="1:256" s="428" customFormat="1" ht="12" customHeight="1">
      <c r="A81" s="21" t="s">
        <v>276</v>
      </c>
      <c r="B81" s="437">
        <f>B19-B12</f>
        <v>24707.497313785716</v>
      </c>
      <c r="C81" s="437">
        <f>C19-C12</f>
        <v>24761.987395699281</v>
      </c>
      <c r="D81" s="437">
        <f>D19-D12</f>
        <v>24818.395562695259</v>
      </c>
      <c r="E81" s="437">
        <f t="shared" ref="E81:U81" si="20">E19</f>
        <v>40356.357940543152</v>
      </c>
      <c r="F81" s="437">
        <f t="shared" si="20"/>
        <v>42456.536129570479</v>
      </c>
      <c r="G81" s="437">
        <f t="shared" si="20"/>
        <v>43334.391079683177</v>
      </c>
      <c r="H81" s="437">
        <f t="shared" si="20"/>
        <v>44229.990842554434</v>
      </c>
      <c r="I81" s="437">
        <f t="shared" si="20"/>
        <v>45145.10159007155</v>
      </c>
      <c r="J81" s="437">
        <f t="shared" si="20"/>
        <v>46080.618477000193</v>
      </c>
      <c r="K81" s="437">
        <f t="shared" si="20"/>
        <v>47036.671799207055</v>
      </c>
      <c r="L81" s="437">
        <f t="shared" si="20"/>
        <v>47672.826272120059</v>
      </c>
      <c r="M81" s="437">
        <f t="shared" si="20"/>
        <v>48320.146201854026</v>
      </c>
      <c r="N81" s="437">
        <f t="shared" si="20"/>
        <v>48976.841961927603</v>
      </c>
      <c r="O81" s="437">
        <f t="shared" si="20"/>
        <v>49643.066459249509</v>
      </c>
      <c r="P81" s="437">
        <f t="shared" si="20"/>
        <v>50318.975111458763</v>
      </c>
      <c r="Q81" s="437">
        <f t="shared" si="20"/>
        <v>51114.909985418024</v>
      </c>
      <c r="R81" s="437">
        <f t="shared" si="20"/>
        <v>51923.927837946678</v>
      </c>
      <c r="S81" s="437">
        <f t="shared" si="20"/>
        <v>52746.257935891015</v>
      </c>
      <c r="T81" s="437">
        <f t="shared" si="20"/>
        <v>53582.133956161924</v>
      </c>
      <c r="U81" s="437">
        <f t="shared" si="20"/>
        <v>54431.794080721273</v>
      </c>
      <c r="V81" s="433"/>
      <c r="W81" s="433"/>
      <c r="X81" s="433"/>
      <c r="Y81" s="433"/>
      <c r="Z81" s="433"/>
      <c r="AA81" s="433"/>
      <c r="AB81" s="433"/>
      <c r="AC81" s="424"/>
      <c r="AD81" s="424"/>
      <c r="AE81" s="426"/>
      <c r="AF81" s="426"/>
      <c r="AG81" s="426"/>
      <c r="AH81" s="427"/>
      <c r="AI81" s="427"/>
      <c r="AJ81" s="427"/>
      <c r="AK81" s="427"/>
      <c r="AL81" s="427"/>
      <c r="AM81" s="427"/>
      <c r="AN81" s="427"/>
      <c r="AO81" s="427"/>
      <c r="AP81" s="427"/>
      <c r="AQ81" s="427"/>
      <c r="AR81" s="427"/>
      <c r="AS81" s="427"/>
      <c r="AT81" s="427"/>
      <c r="AU81" s="427"/>
      <c r="AV81" s="427"/>
      <c r="AW81" s="427"/>
      <c r="AX81" s="427"/>
      <c r="AY81" s="427"/>
      <c r="AZ81" s="427"/>
      <c r="BA81" s="427"/>
      <c r="BB81" s="427"/>
      <c r="BC81" s="427"/>
      <c r="BD81" s="427"/>
      <c r="BE81" s="427"/>
      <c r="BF81" s="427"/>
      <c r="BG81" s="427"/>
      <c r="BH81" s="427"/>
      <c r="BI81" s="427"/>
      <c r="BJ81" s="427"/>
      <c r="BK81" s="427"/>
      <c r="BL81" s="427"/>
      <c r="BM81" s="427"/>
      <c r="BN81" s="427"/>
      <c r="BO81" s="427"/>
      <c r="BP81" s="427"/>
      <c r="BQ81" s="427"/>
      <c r="BR81" s="427"/>
      <c r="BS81" s="427"/>
      <c r="BT81" s="427"/>
      <c r="BU81" s="427"/>
      <c r="BV81" s="427"/>
      <c r="BW81" s="427"/>
      <c r="BX81" s="427"/>
      <c r="BY81" s="427"/>
      <c r="BZ81" s="427"/>
      <c r="CA81" s="427"/>
      <c r="CB81" s="427"/>
      <c r="CC81" s="427"/>
      <c r="CD81" s="427"/>
      <c r="CE81" s="427"/>
      <c r="CF81" s="427"/>
      <c r="CG81" s="427"/>
      <c r="CH81" s="427"/>
      <c r="CI81" s="427"/>
      <c r="CJ81" s="427"/>
      <c r="CK81" s="427"/>
      <c r="CL81" s="427"/>
      <c r="CM81" s="427"/>
      <c r="CN81" s="427"/>
      <c r="CO81" s="427"/>
      <c r="CP81" s="427"/>
      <c r="CQ81" s="427"/>
      <c r="CR81" s="427"/>
      <c r="CS81" s="427"/>
      <c r="CT81" s="427"/>
      <c r="CU81" s="427"/>
      <c r="CV81" s="427"/>
      <c r="CW81" s="427"/>
      <c r="CX81" s="427"/>
      <c r="CY81" s="427"/>
      <c r="CZ81" s="427"/>
      <c r="DA81" s="427"/>
      <c r="DB81" s="427"/>
      <c r="DC81" s="427"/>
      <c r="DD81" s="427"/>
      <c r="DE81" s="427"/>
      <c r="DF81" s="427"/>
      <c r="DG81" s="427"/>
      <c r="DH81" s="427"/>
      <c r="DI81" s="427"/>
      <c r="DJ81" s="427"/>
      <c r="DK81" s="427"/>
      <c r="DL81" s="427"/>
      <c r="DM81" s="427"/>
      <c r="DN81" s="427"/>
      <c r="DO81" s="427"/>
      <c r="DP81" s="427"/>
      <c r="DQ81" s="427"/>
      <c r="DR81" s="427"/>
      <c r="DS81" s="427"/>
      <c r="DT81" s="427"/>
      <c r="DU81" s="427"/>
      <c r="DV81" s="427"/>
      <c r="DW81" s="427"/>
      <c r="DX81" s="427"/>
      <c r="DY81" s="427"/>
      <c r="DZ81" s="427"/>
      <c r="EA81" s="427"/>
      <c r="EB81" s="427"/>
      <c r="EC81" s="427"/>
      <c r="ED81" s="427"/>
      <c r="EE81" s="427"/>
      <c r="EF81" s="427"/>
      <c r="EG81" s="427"/>
      <c r="EH81" s="427"/>
      <c r="EI81" s="427"/>
      <c r="EJ81" s="427"/>
      <c r="EK81" s="427"/>
      <c r="EL81" s="427"/>
      <c r="EM81" s="427"/>
      <c r="EN81" s="427"/>
      <c r="EO81" s="427"/>
      <c r="EP81" s="427"/>
      <c r="EQ81" s="427"/>
      <c r="ER81" s="427"/>
      <c r="ES81" s="427"/>
      <c r="ET81" s="427"/>
      <c r="EU81" s="427"/>
      <c r="EV81" s="427"/>
      <c r="EW81" s="427"/>
      <c r="EX81" s="427"/>
      <c r="EY81" s="427"/>
      <c r="EZ81" s="427"/>
      <c r="FA81" s="427"/>
      <c r="FB81" s="427"/>
      <c r="FC81" s="427"/>
      <c r="FD81" s="427"/>
      <c r="FE81" s="427"/>
      <c r="FF81" s="427"/>
      <c r="FG81" s="427"/>
      <c r="FH81" s="427"/>
      <c r="FI81" s="427"/>
      <c r="FJ81" s="427"/>
      <c r="FK81" s="427"/>
      <c r="FL81" s="427"/>
      <c r="FM81" s="427"/>
      <c r="FN81" s="427"/>
      <c r="FO81" s="427"/>
      <c r="FP81" s="427"/>
      <c r="FQ81" s="427"/>
      <c r="FR81" s="427"/>
      <c r="FS81" s="427"/>
      <c r="FT81" s="427"/>
      <c r="FU81" s="427"/>
      <c r="FV81" s="427"/>
      <c r="FW81" s="427"/>
      <c r="FX81" s="427"/>
      <c r="FY81" s="427"/>
      <c r="FZ81" s="427"/>
      <c r="GA81" s="427"/>
      <c r="GB81" s="427"/>
      <c r="GC81" s="427"/>
      <c r="GD81" s="427"/>
      <c r="GE81" s="427"/>
      <c r="GF81" s="427"/>
      <c r="GG81" s="427"/>
      <c r="GH81" s="427"/>
      <c r="GI81" s="427"/>
      <c r="GJ81" s="427"/>
      <c r="GK81" s="427"/>
      <c r="GL81" s="427"/>
      <c r="GM81" s="427"/>
      <c r="GN81" s="427"/>
      <c r="GO81" s="427"/>
      <c r="GP81" s="427"/>
      <c r="GQ81" s="427"/>
      <c r="GR81" s="427"/>
      <c r="GS81" s="427"/>
      <c r="GT81" s="427"/>
      <c r="GU81" s="427"/>
      <c r="GV81" s="427"/>
      <c r="GW81" s="427"/>
      <c r="GX81" s="427"/>
      <c r="GY81" s="427"/>
      <c r="GZ81" s="427"/>
      <c r="HA81" s="427"/>
      <c r="HB81" s="427"/>
      <c r="HC81" s="427"/>
      <c r="HD81" s="427"/>
      <c r="HE81" s="427"/>
      <c r="HF81" s="427"/>
      <c r="HG81" s="427"/>
      <c r="HH81" s="427"/>
      <c r="HI81" s="427"/>
      <c r="HJ81" s="427"/>
      <c r="HK81" s="427"/>
      <c r="HL81" s="427"/>
      <c r="HM81" s="427"/>
      <c r="HN81" s="427"/>
      <c r="HO81" s="427"/>
      <c r="HP81" s="427"/>
      <c r="HQ81" s="427"/>
      <c r="HR81" s="427"/>
      <c r="HS81" s="427"/>
      <c r="HT81" s="427"/>
      <c r="HU81" s="427"/>
      <c r="HV81" s="427"/>
      <c r="HW81" s="427"/>
      <c r="HX81" s="427"/>
      <c r="HY81" s="427"/>
      <c r="HZ81" s="427"/>
      <c r="IA81" s="427"/>
      <c r="IB81" s="427"/>
      <c r="IC81" s="427"/>
      <c r="ID81" s="427"/>
      <c r="IE81" s="427"/>
      <c r="IF81" s="427"/>
      <c r="IG81" s="427"/>
      <c r="IH81" s="427"/>
      <c r="II81" s="427"/>
      <c r="IJ81" s="427"/>
      <c r="IK81" s="427"/>
      <c r="IL81" s="427"/>
      <c r="IM81" s="427"/>
      <c r="IN81" s="427"/>
      <c r="IO81" s="427"/>
      <c r="IP81" s="427"/>
      <c r="IQ81" s="427"/>
      <c r="IR81" s="427"/>
      <c r="IS81" s="427"/>
      <c r="IT81" s="427"/>
      <c r="IU81" s="427"/>
      <c r="IV81" s="427"/>
    </row>
    <row r="82" spans="1:256" s="428" customFormat="1" ht="12" customHeight="1">
      <c r="A82" s="21" t="s">
        <v>175</v>
      </c>
      <c r="B82" s="434">
        <f>Assumptions!$H$40</f>
        <v>1.2E-2</v>
      </c>
      <c r="C82" s="434">
        <f>Assumptions!$H$40</f>
        <v>1.2E-2</v>
      </c>
      <c r="D82" s="434">
        <f>Assumptions!$H$40</f>
        <v>1.2E-2</v>
      </c>
      <c r="E82" s="434">
        <f>Assumptions!$H$40</f>
        <v>1.2E-2</v>
      </c>
      <c r="F82" s="434">
        <f>Assumptions!$H$40</f>
        <v>1.2E-2</v>
      </c>
      <c r="G82" s="434">
        <f>Assumptions!$H$40</f>
        <v>1.2E-2</v>
      </c>
      <c r="H82" s="434">
        <f>Assumptions!$H$40</f>
        <v>1.2E-2</v>
      </c>
      <c r="I82" s="434">
        <f>Assumptions!$H$40</f>
        <v>1.2E-2</v>
      </c>
      <c r="J82" s="434">
        <f>Assumptions!$H$40</f>
        <v>1.2E-2</v>
      </c>
      <c r="K82" s="434">
        <f>Assumptions!$H$40</f>
        <v>1.2E-2</v>
      </c>
      <c r="L82" s="434">
        <f>Assumptions!$H$40</f>
        <v>1.2E-2</v>
      </c>
      <c r="M82" s="434">
        <f>Assumptions!$H$40</f>
        <v>1.2E-2</v>
      </c>
      <c r="N82" s="434">
        <f>Assumptions!$H$40</f>
        <v>1.2E-2</v>
      </c>
      <c r="O82" s="434">
        <f>Assumptions!$H$40</f>
        <v>1.2E-2</v>
      </c>
      <c r="P82" s="434">
        <f>Assumptions!$H$40</f>
        <v>1.2E-2</v>
      </c>
      <c r="Q82" s="434">
        <f>Assumptions!$H$40</f>
        <v>1.2E-2</v>
      </c>
      <c r="R82" s="434">
        <f>Assumptions!$H$40</f>
        <v>1.2E-2</v>
      </c>
      <c r="S82" s="434">
        <f>Assumptions!$H$40</f>
        <v>1.2E-2</v>
      </c>
      <c r="T82" s="434">
        <f>Assumptions!$H$40</f>
        <v>1.2E-2</v>
      </c>
      <c r="U82" s="434">
        <f>Assumptions!$H$40</f>
        <v>1.2E-2</v>
      </c>
      <c r="V82" s="434"/>
      <c r="W82" s="434"/>
      <c r="X82" s="434"/>
      <c r="Y82" s="434"/>
      <c r="Z82" s="434"/>
      <c r="AA82" s="434"/>
      <c r="AB82" s="434"/>
      <c r="AC82" s="424"/>
      <c r="AD82" s="424"/>
      <c r="AE82" s="426"/>
      <c r="AF82" s="426"/>
      <c r="AG82" s="426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  <c r="AS82" s="427"/>
      <c r="AT82" s="427"/>
      <c r="AU82" s="427"/>
      <c r="AV82" s="427"/>
      <c r="AW82" s="427"/>
      <c r="AX82" s="427"/>
      <c r="AY82" s="427"/>
      <c r="AZ82" s="427"/>
      <c r="BA82" s="427"/>
      <c r="BB82" s="427"/>
      <c r="BC82" s="427"/>
      <c r="BD82" s="427"/>
      <c r="BE82" s="427"/>
      <c r="BF82" s="427"/>
      <c r="BG82" s="427"/>
      <c r="BH82" s="427"/>
      <c r="BI82" s="427"/>
      <c r="BJ82" s="427"/>
      <c r="BK82" s="427"/>
      <c r="BL82" s="427"/>
      <c r="BM82" s="427"/>
      <c r="BN82" s="427"/>
      <c r="BO82" s="427"/>
      <c r="BP82" s="427"/>
      <c r="BQ82" s="427"/>
      <c r="BR82" s="427"/>
      <c r="BS82" s="427"/>
      <c r="BT82" s="427"/>
      <c r="BU82" s="427"/>
      <c r="BV82" s="427"/>
      <c r="BW82" s="427"/>
      <c r="BX82" s="427"/>
      <c r="BY82" s="427"/>
      <c r="BZ82" s="427"/>
      <c r="CA82" s="427"/>
      <c r="CB82" s="427"/>
      <c r="CC82" s="427"/>
      <c r="CD82" s="427"/>
      <c r="CE82" s="427"/>
      <c r="CF82" s="427"/>
      <c r="CG82" s="427"/>
      <c r="CH82" s="427"/>
      <c r="CI82" s="427"/>
      <c r="CJ82" s="427"/>
      <c r="CK82" s="427"/>
      <c r="CL82" s="427"/>
      <c r="CM82" s="427"/>
      <c r="CN82" s="427"/>
      <c r="CO82" s="427"/>
      <c r="CP82" s="427"/>
      <c r="CQ82" s="427"/>
      <c r="CR82" s="427"/>
      <c r="CS82" s="427"/>
      <c r="CT82" s="427"/>
      <c r="CU82" s="427"/>
      <c r="CV82" s="427"/>
      <c r="CW82" s="427"/>
      <c r="CX82" s="427"/>
      <c r="CY82" s="427"/>
      <c r="CZ82" s="427"/>
      <c r="DA82" s="427"/>
      <c r="DB82" s="427"/>
      <c r="DC82" s="427"/>
      <c r="DD82" s="427"/>
      <c r="DE82" s="427"/>
      <c r="DF82" s="427"/>
      <c r="DG82" s="427"/>
      <c r="DH82" s="427"/>
      <c r="DI82" s="427"/>
      <c r="DJ82" s="427"/>
      <c r="DK82" s="427"/>
      <c r="DL82" s="427"/>
      <c r="DM82" s="427"/>
      <c r="DN82" s="427"/>
      <c r="DO82" s="427"/>
      <c r="DP82" s="427"/>
      <c r="DQ82" s="427"/>
      <c r="DR82" s="427"/>
      <c r="DS82" s="427"/>
      <c r="DT82" s="427"/>
      <c r="DU82" s="427"/>
      <c r="DV82" s="427"/>
      <c r="DW82" s="427"/>
      <c r="DX82" s="427"/>
      <c r="DY82" s="427"/>
      <c r="DZ82" s="427"/>
      <c r="EA82" s="427"/>
      <c r="EB82" s="427"/>
      <c r="EC82" s="427"/>
      <c r="ED82" s="427"/>
      <c r="EE82" s="427"/>
      <c r="EF82" s="427"/>
      <c r="EG82" s="427"/>
      <c r="EH82" s="427"/>
      <c r="EI82" s="427"/>
      <c r="EJ82" s="427"/>
      <c r="EK82" s="427"/>
      <c r="EL82" s="427"/>
      <c r="EM82" s="427"/>
      <c r="EN82" s="427"/>
      <c r="EO82" s="427"/>
      <c r="EP82" s="427"/>
      <c r="EQ82" s="427"/>
      <c r="ER82" s="427"/>
      <c r="ES82" s="427"/>
      <c r="ET82" s="427"/>
      <c r="EU82" s="427"/>
      <c r="EV82" s="427"/>
      <c r="EW82" s="427"/>
      <c r="EX82" s="427"/>
      <c r="EY82" s="427"/>
      <c r="EZ82" s="427"/>
      <c r="FA82" s="427"/>
      <c r="FB82" s="427"/>
      <c r="FC82" s="427"/>
      <c r="FD82" s="427"/>
      <c r="FE82" s="427"/>
      <c r="FF82" s="427"/>
      <c r="FG82" s="427"/>
      <c r="FH82" s="427"/>
      <c r="FI82" s="427"/>
      <c r="FJ82" s="427"/>
      <c r="FK82" s="427"/>
      <c r="FL82" s="427"/>
      <c r="FM82" s="427"/>
      <c r="FN82" s="427"/>
      <c r="FO82" s="427"/>
      <c r="FP82" s="427"/>
      <c r="FQ82" s="427"/>
      <c r="FR82" s="427"/>
      <c r="FS82" s="427"/>
      <c r="FT82" s="427"/>
      <c r="FU82" s="427"/>
      <c r="FV82" s="427"/>
      <c r="FW82" s="427"/>
      <c r="FX82" s="427"/>
      <c r="FY82" s="427"/>
      <c r="FZ82" s="427"/>
      <c r="GA82" s="427"/>
      <c r="GB82" s="427"/>
      <c r="GC82" s="427"/>
      <c r="GD82" s="427"/>
      <c r="GE82" s="427"/>
      <c r="GF82" s="427"/>
      <c r="GG82" s="427"/>
      <c r="GH82" s="427"/>
      <c r="GI82" s="427"/>
      <c r="GJ82" s="427"/>
      <c r="GK82" s="427"/>
      <c r="GL82" s="427"/>
      <c r="GM82" s="427"/>
      <c r="GN82" s="427"/>
      <c r="GO82" s="427"/>
      <c r="GP82" s="427"/>
      <c r="GQ82" s="427"/>
      <c r="GR82" s="427"/>
      <c r="GS82" s="427"/>
      <c r="GT82" s="427"/>
      <c r="GU82" s="427"/>
      <c r="GV82" s="427"/>
      <c r="GW82" s="427"/>
      <c r="GX82" s="427"/>
      <c r="GY82" s="427"/>
      <c r="GZ82" s="427"/>
      <c r="HA82" s="427"/>
      <c r="HB82" s="427"/>
      <c r="HC82" s="427"/>
      <c r="HD82" s="427"/>
      <c r="HE82" s="427"/>
      <c r="HF82" s="427"/>
      <c r="HG82" s="427"/>
      <c r="HH82" s="427"/>
      <c r="HI82" s="427"/>
      <c r="HJ82" s="427"/>
      <c r="HK82" s="427"/>
      <c r="HL82" s="427"/>
      <c r="HM82" s="427"/>
      <c r="HN82" s="427"/>
      <c r="HO82" s="427"/>
      <c r="HP82" s="427"/>
      <c r="HQ82" s="427"/>
      <c r="HR82" s="427"/>
      <c r="HS82" s="427"/>
      <c r="HT82" s="427"/>
      <c r="HU82" s="427"/>
      <c r="HV82" s="427"/>
      <c r="HW82" s="427"/>
      <c r="HX82" s="427"/>
      <c r="HY82" s="427"/>
      <c r="HZ82" s="427"/>
      <c r="IA82" s="427"/>
      <c r="IB82" s="427"/>
      <c r="IC82" s="427"/>
      <c r="ID82" s="427"/>
      <c r="IE82" s="427"/>
      <c r="IF82" s="427"/>
      <c r="IG82" s="427"/>
      <c r="IH82" s="427"/>
      <c r="II82" s="427"/>
      <c r="IJ82" s="427"/>
      <c r="IK82" s="427"/>
      <c r="IL82" s="427"/>
      <c r="IM82" s="427"/>
      <c r="IN82" s="427"/>
      <c r="IO82" s="427"/>
      <c r="IP82" s="427"/>
      <c r="IQ82" s="427"/>
      <c r="IR82" s="427"/>
      <c r="IS82" s="427"/>
      <c r="IT82" s="427"/>
      <c r="IU82" s="427"/>
      <c r="IV82" s="427"/>
    </row>
    <row r="83" spans="1:256" s="428" customFormat="1" ht="12" customHeight="1">
      <c r="A83" s="21" t="s">
        <v>176</v>
      </c>
      <c r="B83" s="22">
        <f>B81*B82</f>
        <v>296.48996776542862</v>
      </c>
      <c r="C83" s="22">
        <f t="shared" ref="C83:U83" si="21">C81*C82</f>
        <v>297.14384874839141</v>
      </c>
      <c r="D83" s="22">
        <f t="shared" si="21"/>
        <v>297.8207467523431</v>
      </c>
      <c r="E83" s="22">
        <f t="shared" si="21"/>
        <v>484.27629528651784</v>
      </c>
      <c r="F83" s="22">
        <f t="shared" si="21"/>
        <v>509.47843355484576</v>
      </c>
      <c r="G83" s="22">
        <f t="shared" si="21"/>
        <v>520.01269295619818</v>
      </c>
      <c r="H83" s="22">
        <f t="shared" si="21"/>
        <v>530.75989011065326</v>
      </c>
      <c r="I83" s="22">
        <f t="shared" si="21"/>
        <v>541.74121908085863</v>
      </c>
      <c r="J83" s="22">
        <f t="shared" si="21"/>
        <v>552.96742172400229</v>
      </c>
      <c r="K83" s="22">
        <f t="shared" si="21"/>
        <v>564.44006159048467</v>
      </c>
      <c r="L83" s="22">
        <f t="shared" si="21"/>
        <v>572.07391526544075</v>
      </c>
      <c r="M83" s="22">
        <f t="shared" si="21"/>
        <v>579.8417544222483</v>
      </c>
      <c r="N83" s="22">
        <f t="shared" si="21"/>
        <v>587.7221035431312</v>
      </c>
      <c r="O83" s="22">
        <f t="shared" si="21"/>
        <v>595.71679751099407</v>
      </c>
      <c r="P83" s="22">
        <f t="shared" si="21"/>
        <v>603.82770133750512</v>
      </c>
      <c r="Q83" s="22">
        <f t="shared" si="21"/>
        <v>613.37891982501628</v>
      </c>
      <c r="R83" s="22">
        <f t="shared" si="21"/>
        <v>623.08713405536014</v>
      </c>
      <c r="S83" s="22">
        <f t="shared" si="21"/>
        <v>632.95509523069222</v>
      </c>
      <c r="T83" s="22">
        <f t="shared" si="21"/>
        <v>642.98560747394311</v>
      </c>
      <c r="U83" s="22">
        <f t="shared" si="21"/>
        <v>653.18152896865524</v>
      </c>
      <c r="V83" s="435"/>
      <c r="W83" s="435"/>
      <c r="X83" s="435"/>
      <c r="Y83" s="435"/>
      <c r="Z83" s="435"/>
      <c r="AA83" s="435"/>
      <c r="AB83" s="435"/>
      <c r="AC83" s="424"/>
      <c r="AD83" s="424"/>
      <c r="AE83" s="426"/>
      <c r="AF83" s="426"/>
      <c r="AG83" s="426"/>
      <c r="AH83" s="427"/>
      <c r="AI83" s="427"/>
      <c r="AJ83" s="427"/>
      <c r="AK83" s="427"/>
      <c r="AL83" s="427"/>
      <c r="AM83" s="427"/>
      <c r="AN83" s="427"/>
      <c r="AO83" s="427"/>
      <c r="AP83" s="427"/>
      <c r="AQ83" s="427"/>
      <c r="AR83" s="427"/>
      <c r="AS83" s="427"/>
      <c r="AT83" s="427"/>
      <c r="AU83" s="427"/>
      <c r="AV83" s="427"/>
      <c r="AW83" s="427"/>
      <c r="AX83" s="427"/>
      <c r="AY83" s="427"/>
      <c r="AZ83" s="427"/>
      <c r="BA83" s="427"/>
      <c r="BB83" s="427"/>
      <c r="BC83" s="427"/>
      <c r="BD83" s="427"/>
      <c r="BE83" s="427"/>
      <c r="BF83" s="427"/>
      <c r="BG83" s="427"/>
      <c r="BH83" s="427"/>
      <c r="BI83" s="427"/>
      <c r="BJ83" s="427"/>
      <c r="BK83" s="427"/>
      <c r="BL83" s="427"/>
      <c r="BM83" s="427"/>
      <c r="BN83" s="427"/>
      <c r="BO83" s="427"/>
      <c r="BP83" s="427"/>
      <c r="BQ83" s="427"/>
      <c r="BR83" s="427"/>
      <c r="BS83" s="427"/>
      <c r="BT83" s="427"/>
      <c r="BU83" s="427"/>
      <c r="BV83" s="427"/>
      <c r="BW83" s="427"/>
      <c r="BX83" s="427"/>
      <c r="BY83" s="427"/>
      <c r="BZ83" s="427"/>
      <c r="CA83" s="427"/>
      <c r="CB83" s="427"/>
      <c r="CC83" s="427"/>
      <c r="CD83" s="427"/>
      <c r="CE83" s="427"/>
      <c r="CF83" s="427"/>
      <c r="CG83" s="427"/>
      <c r="CH83" s="427"/>
      <c r="CI83" s="427"/>
      <c r="CJ83" s="427"/>
      <c r="CK83" s="427"/>
      <c r="CL83" s="427"/>
      <c r="CM83" s="427"/>
      <c r="CN83" s="427"/>
      <c r="CO83" s="427"/>
      <c r="CP83" s="427"/>
      <c r="CQ83" s="427"/>
      <c r="CR83" s="427"/>
      <c r="CS83" s="427"/>
      <c r="CT83" s="427"/>
      <c r="CU83" s="427"/>
      <c r="CV83" s="427"/>
      <c r="CW83" s="427"/>
      <c r="CX83" s="427"/>
      <c r="CY83" s="427"/>
      <c r="CZ83" s="427"/>
      <c r="DA83" s="427"/>
      <c r="DB83" s="427"/>
      <c r="DC83" s="427"/>
      <c r="DD83" s="427"/>
      <c r="DE83" s="427"/>
      <c r="DF83" s="427"/>
      <c r="DG83" s="427"/>
      <c r="DH83" s="427"/>
      <c r="DI83" s="427"/>
      <c r="DJ83" s="427"/>
      <c r="DK83" s="427"/>
      <c r="DL83" s="427"/>
      <c r="DM83" s="427"/>
      <c r="DN83" s="427"/>
      <c r="DO83" s="427"/>
      <c r="DP83" s="427"/>
      <c r="DQ83" s="427"/>
      <c r="DR83" s="427"/>
      <c r="DS83" s="427"/>
      <c r="DT83" s="427"/>
      <c r="DU83" s="427"/>
      <c r="DV83" s="427"/>
      <c r="DW83" s="427"/>
      <c r="DX83" s="427"/>
      <c r="DY83" s="427"/>
      <c r="DZ83" s="427"/>
      <c r="EA83" s="427"/>
      <c r="EB83" s="427"/>
      <c r="EC83" s="427"/>
      <c r="ED83" s="427"/>
      <c r="EE83" s="427"/>
      <c r="EF83" s="427"/>
      <c r="EG83" s="427"/>
      <c r="EH83" s="427"/>
      <c r="EI83" s="427"/>
      <c r="EJ83" s="427"/>
      <c r="EK83" s="427"/>
      <c r="EL83" s="427"/>
      <c r="EM83" s="427"/>
      <c r="EN83" s="427"/>
      <c r="EO83" s="427"/>
      <c r="EP83" s="427"/>
      <c r="EQ83" s="427"/>
      <c r="ER83" s="427"/>
      <c r="ES83" s="427"/>
      <c r="ET83" s="427"/>
      <c r="EU83" s="427"/>
      <c r="EV83" s="427"/>
      <c r="EW83" s="427"/>
      <c r="EX83" s="427"/>
      <c r="EY83" s="427"/>
      <c r="EZ83" s="427"/>
      <c r="FA83" s="427"/>
      <c r="FB83" s="427"/>
      <c r="FC83" s="427"/>
      <c r="FD83" s="427"/>
      <c r="FE83" s="427"/>
      <c r="FF83" s="427"/>
      <c r="FG83" s="427"/>
      <c r="FH83" s="427"/>
      <c r="FI83" s="427"/>
      <c r="FJ83" s="427"/>
      <c r="FK83" s="427"/>
      <c r="FL83" s="427"/>
      <c r="FM83" s="427"/>
      <c r="FN83" s="427"/>
      <c r="FO83" s="427"/>
      <c r="FP83" s="427"/>
      <c r="FQ83" s="427"/>
      <c r="FR83" s="427"/>
      <c r="FS83" s="427"/>
      <c r="FT83" s="427"/>
      <c r="FU83" s="427"/>
      <c r="FV83" s="427"/>
      <c r="FW83" s="427"/>
      <c r="FX83" s="427"/>
      <c r="FY83" s="427"/>
      <c r="FZ83" s="427"/>
      <c r="GA83" s="427"/>
      <c r="GB83" s="427"/>
      <c r="GC83" s="427"/>
      <c r="GD83" s="427"/>
      <c r="GE83" s="427"/>
      <c r="GF83" s="427"/>
      <c r="GG83" s="427"/>
      <c r="GH83" s="427"/>
      <c r="GI83" s="427"/>
      <c r="GJ83" s="427"/>
      <c r="GK83" s="427"/>
      <c r="GL83" s="427"/>
      <c r="GM83" s="427"/>
      <c r="GN83" s="427"/>
      <c r="GO83" s="427"/>
      <c r="GP83" s="427"/>
      <c r="GQ83" s="427"/>
      <c r="GR83" s="427"/>
      <c r="GS83" s="427"/>
      <c r="GT83" s="427"/>
      <c r="GU83" s="427"/>
      <c r="GV83" s="427"/>
      <c r="GW83" s="427"/>
      <c r="GX83" s="427"/>
      <c r="GY83" s="427"/>
      <c r="GZ83" s="427"/>
      <c r="HA83" s="427"/>
      <c r="HB83" s="427"/>
      <c r="HC83" s="427"/>
      <c r="HD83" s="427"/>
      <c r="HE83" s="427"/>
      <c r="HF83" s="427"/>
      <c r="HG83" s="427"/>
      <c r="HH83" s="427"/>
      <c r="HI83" s="427"/>
      <c r="HJ83" s="427"/>
      <c r="HK83" s="427"/>
      <c r="HL83" s="427"/>
      <c r="HM83" s="427"/>
      <c r="HN83" s="427"/>
      <c r="HO83" s="427"/>
      <c r="HP83" s="427"/>
      <c r="HQ83" s="427"/>
      <c r="HR83" s="427"/>
      <c r="HS83" s="427"/>
      <c r="HT83" s="427"/>
      <c r="HU83" s="427"/>
      <c r="HV83" s="427"/>
      <c r="HW83" s="427"/>
      <c r="HX83" s="427"/>
      <c r="HY83" s="427"/>
      <c r="HZ83" s="427"/>
      <c r="IA83" s="427"/>
      <c r="IB83" s="427"/>
      <c r="IC83" s="427"/>
      <c r="ID83" s="427"/>
      <c r="IE83" s="427"/>
      <c r="IF83" s="427"/>
      <c r="IG83" s="427"/>
      <c r="IH83" s="427"/>
      <c r="II83" s="427"/>
      <c r="IJ83" s="427"/>
      <c r="IK83" s="427"/>
      <c r="IL83" s="427"/>
      <c r="IM83" s="427"/>
      <c r="IN83" s="427"/>
      <c r="IO83" s="427"/>
      <c r="IP83" s="427"/>
      <c r="IQ83" s="427"/>
      <c r="IR83" s="427"/>
      <c r="IS83" s="427"/>
      <c r="IT83" s="427"/>
      <c r="IU83" s="427"/>
      <c r="IV83" s="427"/>
    </row>
    <row r="84" spans="1:256" s="428" customFormat="1" ht="12" customHeight="1">
      <c r="A84" s="21"/>
      <c r="B84" s="32"/>
      <c r="C84" s="32"/>
      <c r="D84" s="435"/>
      <c r="E84" s="435"/>
      <c r="F84" s="435"/>
      <c r="G84" s="435"/>
      <c r="H84" s="435"/>
      <c r="I84" s="435"/>
      <c r="J84" s="435"/>
      <c r="K84" s="435"/>
      <c r="L84" s="435"/>
      <c r="M84" s="435"/>
      <c r="N84" s="435"/>
      <c r="O84" s="435"/>
      <c r="P84" s="435"/>
      <c r="Q84" s="435"/>
      <c r="R84" s="435"/>
      <c r="S84" s="435"/>
      <c r="T84" s="435"/>
      <c r="U84" s="435"/>
      <c r="V84" s="435"/>
      <c r="W84" s="435"/>
      <c r="X84" s="435"/>
      <c r="Y84" s="435"/>
      <c r="Z84" s="435"/>
      <c r="AA84" s="435"/>
      <c r="AB84" s="435"/>
      <c r="AC84" s="424"/>
      <c r="AD84" s="424"/>
      <c r="AE84" s="426"/>
      <c r="AF84" s="426"/>
      <c r="AG84" s="426"/>
      <c r="AH84" s="427"/>
      <c r="AI84" s="427"/>
      <c r="AJ84" s="427"/>
      <c r="AK84" s="427"/>
      <c r="AL84" s="427"/>
      <c r="AM84" s="427"/>
      <c r="AN84" s="427"/>
      <c r="AO84" s="427"/>
      <c r="AP84" s="427"/>
      <c r="AQ84" s="427"/>
      <c r="AR84" s="427"/>
      <c r="AS84" s="427"/>
      <c r="AT84" s="427"/>
      <c r="AU84" s="427"/>
      <c r="AV84" s="427"/>
      <c r="AW84" s="427"/>
      <c r="AX84" s="427"/>
      <c r="AY84" s="427"/>
      <c r="AZ84" s="427"/>
      <c r="BA84" s="427"/>
      <c r="BB84" s="427"/>
      <c r="BC84" s="427"/>
      <c r="BD84" s="427"/>
      <c r="BE84" s="427"/>
      <c r="BF84" s="427"/>
      <c r="BG84" s="427"/>
      <c r="BH84" s="427"/>
      <c r="BI84" s="427"/>
      <c r="BJ84" s="427"/>
      <c r="BK84" s="427"/>
      <c r="BL84" s="427"/>
      <c r="BM84" s="427"/>
      <c r="BN84" s="427"/>
      <c r="BO84" s="427"/>
      <c r="BP84" s="427"/>
      <c r="BQ84" s="427"/>
      <c r="BR84" s="427"/>
      <c r="BS84" s="427"/>
      <c r="BT84" s="427"/>
      <c r="BU84" s="427"/>
      <c r="BV84" s="427"/>
      <c r="BW84" s="427"/>
      <c r="BX84" s="427"/>
      <c r="BY84" s="427"/>
      <c r="BZ84" s="427"/>
      <c r="CA84" s="427"/>
      <c r="CB84" s="427"/>
      <c r="CC84" s="427"/>
      <c r="CD84" s="427"/>
      <c r="CE84" s="427"/>
      <c r="CF84" s="427"/>
      <c r="CG84" s="427"/>
      <c r="CH84" s="427"/>
      <c r="CI84" s="427"/>
      <c r="CJ84" s="427"/>
      <c r="CK84" s="427"/>
      <c r="CL84" s="427"/>
      <c r="CM84" s="427"/>
      <c r="CN84" s="427"/>
      <c r="CO84" s="427"/>
      <c r="CP84" s="427"/>
      <c r="CQ84" s="427"/>
      <c r="CR84" s="427"/>
      <c r="CS84" s="427"/>
      <c r="CT84" s="427"/>
      <c r="CU84" s="427"/>
      <c r="CV84" s="427"/>
      <c r="CW84" s="427"/>
      <c r="CX84" s="427"/>
      <c r="CY84" s="427"/>
      <c r="CZ84" s="427"/>
      <c r="DA84" s="427"/>
      <c r="DB84" s="427"/>
      <c r="DC84" s="427"/>
      <c r="DD84" s="427"/>
      <c r="DE84" s="427"/>
      <c r="DF84" s="427"/>
      <c r="DG84" s="427"/>
      <c r="DH84" s="427"/>
      <c r="DI84" s="427"/>
      <c r="DJ84" s="427"/>
      <c r="DK84" s="427"/>
      <c r="DL84" s="427"/>
      <c r="DM84" s="427"/>
      <c r="DN84" s="427"/>
      <c r="DO84" s="427"/>
      <c r="DP84" s="427"/>
      <c r="DQ84" s="427"/>
      <c r="DR84" s="427"/>
      <c r="DS84" s="427"/>
      <c r="DT84" s="427"/>
      <c r="DU84" s="427"/>
      <c r="DV84" s="427"/>
      <c r="DW84" s="427"/>
      <c r="DX84" s="427"/>
      <c r="DY84" s="427"/>
      <c r="DZ84" s="427"/>
      <c r="EA84" s="427"/>
      <c r="EB84" s="427"/>
      <c r="EC84" s="427"/>
      <c r="ED84" s="427"/>
      <c r="EE84" s="427"/>
      <c r="EF84" s="427"/>
      <c r="EG84" s="427"/>
      <c r="EH84" s="427"/>
      <c r="EI84" s="427"/>
      <c r="EJ84" s="427"/>
      <c r="EK84" s="427"/>
      <c r="EL84" s="427"/>
      <c r="EM84" s="427"/>
      <c r="EN84" s="427"/>
      <c r="EO84" s="427"/>
      <c r="EP84" s="427"/>
      <c r="EQ84" s="427"/>
      <c r="ER84" s="427"/>
      <c r="ES84" s="427"/>
      <c r="ET84" s="427"/>
      <c r="EU84" s="427"/>
      <c r="EV84" s="427"/>
      <c r="EW84" s="427"/>
      <c r="EX84" s="427"/>
      <c r="EY84" s="427"/>
      <c r="EZ84" s="427"/>
      <c r="FA84" s="427"/>
      <c r="FB84" s="427"/>
      <c r="FC84" s="427"/>
      <c r="FD84" s="427"/>
      <c r="FE84" s="427"/>
      <c r="FF84" s="427"/>
      <c r="FG84" s="427"/>
      <c r="FH84" s="427"/>
      <c r="FI84" s="427"/>
      <c r="FJ84" s="427"/>
      <c r="FK84" s="427"/>
      <c r="FL84" s="427"/>
      <c r="FM84" s="427"/>
      <c r="FN84" s="427"/>
      <c r="FO84" s="427"/>
      <c r="FP84" s="427"/>
      <c r="FQ84" s="427"/>
      <c r="FR84" s="427"/>
      <c r="FS84" s="427"/>
      <c r="FT84" s="427"/>
      <c r="FU84" s="427"/>
      <c r="FV84" s="427"/>
      <c r="FW84" s="427"/>
      <c r="FX84" s="427"/>
      <c r="FY84" s="427"/>
      <c r="FZ84" s="427"/>
      <c r="GA84" s="427"/>
      <c r="GB84" s="427"/>
      <c r="GC84" s="427"/>
      <c r="GD84" s="427"/>
      <c r="GE84" s="427"/>
      <c r="GF84" s="427"/>
      <c r="GG84" s="427"/>
      <c r="GH84" s="427"/>
      <c r="GI84" s="427"/>
      <c r="GJ84" s="427"/>
      <c r="GK84" s="427"/>
      <c r="GL84" s="427"/>
      <c r="GM84" s="427"/>
      <c r="GN84" s="427"/>
      <c r="GO84" s="427"/>
      <c r="GP84" s="427"/>
      <c r="GQ84" s="427"/>
      <c r="GR84" s="427"/>
      <c r="GS84" s="427"/>
      <c r="GT84" s="427"/>
      <c r="GU84" s="427"/>
      <c r="GV84" s="427"/>
      <c r="GW84" s="427"/>
      <c r="GX84" s="427"/>
      <c r="GY84" s="427"/>
      <c r="GZ84" s="427"/>
      <c r="HA84" s="427"/>
      <c r="HB84" s="427"/>
      <c r="HC84" s="427"/>
      <c r="HD84" s="427"/>
      <c r="HE84" s="427"/>
      <c r="HF84" s="427"/>
      <c r="HG84" s="427"/>
      <c r="HH84" s="427"/>
      <c r="HI84" s="427"/>
      <c r="HJ84" s="427"/>
      <c r="HK84" s="427"/>
      <c r="HL84" s="427"/>
      <c r="HM84" s="427"/>
      <c r="HN84" s="427"/>
      <c r="HO84" s="427"/>
      <c r="HP84" s="427"/>
      <c r="HQ84" s="427"/>
      <c r="HR84" s="427"/>
      <c r="HS84" s="427"/>
      <c r="HT84" s="427"/>
      <c r="HU84" s="427"/>
      <c r="HV84" s="427"/>
      <c r="HW84" s="427"/>
      <c r="HX84" s="427"/>
      <c r="HY84" s="427"/>
      <c r="HZ84" s="427"/>
      <c r="IA84" s="427"/>
      <c r="IB84" s="427"/>
      <c r="IC84" s="427"/>
      <c r="ID84" s="427"/>
      <c r="IE84" s="427"/>
      <c r="IF84" s="427"/>
      <c r="IG84" s="427"/>
      <c r="IH84" s="427"/>
      <c r="II84" s="427"/>
      <c r="IJ84" s="427"/>
      <c r="IK84" s="427"/>
      <c r="IL84" s="427"/>
      <c r="IM84" s="427"/>
      <c r="IN84" s="427"/>
      <c r="IO84" s="427"/>
      <c r="IP84" s="427"/>
      <c r="IQ84" s="427"/>
      <c r="IR84" s="427"/>
      <c r="IS84" s="427"/>
      <c r="IT84" s="427"/>
      <c r="IU84" s="427"/>
      <c r="IV84" s="427"/>
    </row>
    <row r="85" spans="1:256" s="428" customFormat="1" ht="12" customHeight="1">
      <c r="A85" s="227" t="s">
        <v>177</v>
      </c>
      <c r="B85" s="531">
        <f>MAX(B83,B78)</f>
        <v>296.48996776542862</v>
      </c>
      <c r="C85" s="531">
        <f t="shared" ref="C85:U85" si="22">MAX(C83,C78)</f>
        <v>297.14384874839141</v>
      </c>
      <c r="D85" s="531">
        <f t="shared" si="22"/>
        <v>297.8207467523431</v>
      </c>
      <c r="E85" s="531">
        <f t="shared" si="22"/>
        <v>540.19017382831646</v>
      </c>
      <c r="F85" s="531">
        <f t="shared" si="22"/>
        <v>619.454528435866</v>
      </c>
      <c r="G85" s="531">
        <f t="shared" si="22"/>
        <v>657.13121111580426</v>
      </c>
      <c r="H85" s="531">
        <f t="shared" si="22"/>
        <v>695.60246107713635</v>
      </c>
      <c r="I85" s="531">
        <f t="shared" si="22"/>
        <v>737.49807727795587</v>
      </c>
      <c r="J85" s="531">
        <f t="shared" si="22"/>
        <v>787.99853691571093</v>
      </c>
      <c r="K85" s="531">
        <f t="shared" si="22"/>
        <v>844.28636243468702</v>
      </c>
      <c r="L85" s="531">
        <f t="shared" si="22"/>
        <v>883.41262779445117</v>
      </c>
      <c r="M85" s="531">
        <f t="shared" si="22"/>
        <v>930.55139111936001</v>
      </c>
      <c r="N85" s="531">
        <f t="shared" si="22"/>
        <v>979.35834530964962</v>
      </c>
      <c r="O85" s="531">
        <f t="shared" si="22"/>
        <v>1027.5770748816328</v>
      </c>
      <c r="P85" s="531">
        <f t="shared" si="22"/>
        <v>1076.3520079992882</v>
      </c>
      <c r="Q85" s="531">
        <f t="shared" si="22"/>
        <v>1130.1825430854065</v>
      </c>
      <c r="R85" s="531">
        <f t="shared" si="22"/>
        <v>1186.2610281271538</v>
      </c>
      <c r="S85" s="531">
        <f t="shared" si="22"/>
        <v>1240.6394340145598</v>
      </c>
      <c r="T85" s="531">
        <f t="shared" si="22"/>
        <v>1290.6497346096996</v>
      </c>
      <c r="U85" s="531">
        <f t="shared" si="22"/>
        <v>1340.8701972419594</v>
      </c>
      <c r="V85" s="435"/>
      <c r="W85" s="435"/>
      <c r="X85" s="477">
        <f>MAX(X83,X78)</f>
        <v>0</v>
      </c>
      <c r="Y85" s="477">
        <f t="shared" ref="Y85:AQ85" si="23">MAX(Y83,Y78)</f>
        <v>0</v>
      </c>
      <c r="Z85" s="477">
        <f t="shared" si="23"/>
        <v>0</v>
      </c>
      <c r="AA85" s="477">
        <f t="shared" si="23"/>
        <v>0</v>
      </c>
      <c r="AB85" s="477">
        <f t="shared" si="23"/>
        <v>0</v>
      </c>
      <c r="AC85" s="477">
        <f t="shared" si="23"/>
        <v>0</v>
      </c>
      <c r="AD85" s="477">
        <f t="shared" si="23"/>
        <v>0</v>
      </c>
      <c r="AE85" s="477">
        <f t="shared" si="23"/>
        <v>0</v>
      </c>
      <c r="AF85" s="477">
        <f t="shared" si="23"/>
        <v>0</v>
      </c>
      <c r="AG85" s="477">
        <f t="shared" si="23"/>
        <v>0</v>
      </c>
      <c r="AH85" s="477">
        <f t="shared" si="23"/>
        <v>0</v>
      </c>
      <c r="AI85" s="477">
        <f t="shared" si="23"/>
        <v>0</v>
      </c>
      <c r="AJ85" s="477">
        <f t="shared" si="23"/>
        <v>0</v>
      </c>
      <c r="AK85" s="477">
        <f t="shared" si="23"/>
        <v>0</v>
      </c>
      <c r="AL85" s="477">
        <f t="shared" si="23"/>
        <v>0</v>
      </c>
      <c r="AM85" s="477">
        <f t="shared" si="23"/>
        <v>0</v>
      </c>
      <c r="AN85" s="477">
        <f t="shared" si="23"/>
        <v>0</v>
      </c>
      <c r="AO85" s="477">
        <f t="shared" si="23"/>
        <v>0</v>
      </c>
      <c r="AP85" s="477">
        <f t="shared" si="23"/>
        <v>0</v>
      </c>
      <c r="AQ85" s="477">
        <f t="shared" si="23"/>
        <v>0</v>
      </c>
      <c r="AR85" s="427"/>
      <c r="AS85" s="427"/>
      <c r="AT85" s="427"/>
      <c r="AU85" s="427"/>
      <c r="AV85" s="427"/>
      <c r="AW85" s="427"/>
      <c r="AX85" s="427"/>
      <c r="AY85" s="427"/>
      <c r="AZ85" s="427"/>
      <c r="BA85" s="427"/>
      <c r="BB85" s="427"/>
      <c r="BC85" s="427"/>
      <c r="BD85" s="427"/>
      <c r="BE85" s="427"/>
      <c r="BF85" s="427"/>
      <c r="BG85" s="427"/>
      <c r="BH85" s="427"/>
      <c r="BI85" s="427"/>
      <c r="BJ85" s="427"/>
      <c r="BK85" s="427"/>
      <c r="BL85" s="427"/>
      <c r="BM85" s="427"/>
      <c r="BN85" s="427"/>
      <c r="BO85" s="427"/>
      <c r="BP85" s="427"/>
      <c r="BQ85" s="427"/>
      <c r="BR85" s="427"/>
      <c r="BS85" s="427"/>
      <c r="BT85" s="427"/>
      <c r="BU85" s="427"/>
      <c r="BV85" s="427"/>
      <c r="BW85" s="427"/>
      <c r="BX85" s="427"/>
      <c r="BY85" s="427"/>
      <c r="BZ85" s="427"/>
      <c r="CA85" s="427"/>
      <c r="CB85" s="427"/>
      <c r="CC85" s="427"/>
      <c r="CD85" s="427"/>
      <c r="CE85" s="427"/>
      <c r="CF85" s="427"/>
      <c r="CG85" s="427"/>
      <c r="CH85" s="427"/>
      <c r="CI85" s="427"/>
      <c r="CJ85" s="427"/>
      <c r="CK85" s="427"/>
      <c r="CL85" s="427"/>
      <c r="CM85" s="427"/>
      <c r="CN85" s="427"/>
      <c r="CO85" s="427"/>
      <c r="CP85" s="427"/>
      <c r="CQ85" s="427"/>
      <c r="CR85" s="427"/>
      <c r="CS85" s="427"/>
      <c r="CT85" s="427"/>
      <c r="CU85" s="427"/>
      <c r="CV85" s="427"/>
      <c r="CW85" s="427"/>
      <c r="CX85" s="427"/>
      <c r="CY85" s="427"/>
      <c r="CZ85" s="427"/>
      <c r="DA85" s="427"/>
      <c r="DB85" s="427"/>
      <c r="DC85" s="427"/>
      <c r="DD85" s="427"/>
      <c r="DE85" s="427"/>
      <c r="DF85" s="427"/>
      <c r="DG85" s="427"/>
      <c r="DH85" s="427"/>
      <c r="DI85" s="427"/>
      <c r="DJ85" s="427"/>
      <c r="DK85" s="427"/>
      <c r="DL85" s="427"/>
      <c r="DM85" s="427"/>
      <c r="DN85" s="427"/>
      <c r="DO85" s="427"/>
      <c r="DP85" s="427"/>
      <c r="DQ85" s="427"/>
      <c r="DR85" s="427"/>
      <c r="DS85" s="427"/>
      <c r="DT85" s="427"/>
      <c r="DU85" s="427"/>
      <c r="DV85" s="427"/>
      <c r="DW85" s="427"/>
      <c r="DX85" s="427"/>
      <c r="DY85" s="427"/>
      <c r="DZ85" s="427"/>
      <c r="EA85" s="427"/>
      <c r="EB85" s="427"/>
      <c r="EC85" s="427"/>
      <c r="ED85" s="427"/>
      <c r="EE85" s="427"/>
      <c r="EF85" s="427"/>
      <c r="EG85" s="427"/>
      <c r="EH85" s="427"/>
      <c r="EI85" s="427"/>
      <c r="EJ85" s="427"/>
      <c r="EK85" s="427"/>
      <c r="EL85" s="427"/>
      <c r="EM85" s="427"/>
      <c r="EN85" s="427"/>
      <c r="EO85" s="427"/>
      <c r="EP85" s="427"/>
      <c r="EQ85" s="427"/>
      <c r="ER85" s="427"/>
      <c r="ES85" s="427"/>
      <c r="ET85" s="427"/>
      <c r="EU85" s="427"/>
      <c r="EV85" s="427"/>
      <c r="EW85" s="427"/>
      <c r="EX85" s="427"/>
      <c r="EY85" s="427"/>
      <c r="EZ85" s="427"/>
      <c r="FA85" s="427"/>
      <c r="FB85" s="427"/>
      <c r="FC85" s="427"/>
      <c r="FD85" s="427"/>
      <c r="FE85" s="427"/>
      <c r="FF85" s="427"/>
      <c r="FG85" s="427"/>
      <c r="FH85" s="427"/>
      <c r="FI85" s="427"/>
      <c r="FJ85" s="427"/>
      <c r="FK85" s="427"/>
      <c r="FL85" s="427"/>
      <c r="FM85" s="427"/>
      <c r="FN85" s="427"/>
      <c r="FO85" s="427"/>
      <c r="FP85" s="427"/>
      <c r="FQ85" s="427"/>
      <c r="FR85" s="427"/>
      <c r="FS85" s="427"/>
      <c r="FT85" s="427"/>
      <c r="FU85" s="427"/>
      <c r="FV85" s="427"/>
      <c r="FW85" s="427"/>
      <c r="FX85" s="427"/>
      <c r="FY85" s="427"/>
      <c r="FZ85" s="427"/>
      <c r="GA85" s="427"/>
      <c r="GB85" s="427"/>
      <c r="GC85" s="427"/>
      <c r="GD85" s="427"/>
      <c r="GE85" s="427"/>
      <c r="GF85" s="427"/>
      <c r="GG85" s="427"/>
      <c r="GH85" s="427"/>
      <c r="GI85" s="427"/>
      <c r="GJ85" s="427"/>
      <c r="GK85" s="427"/>
      <c r="GL85" s="427"/>
      <c r="GM85" s="427"/>
      <c r="GN85" s="427"/>
      <c r="GO85" s="427"/>
      <c r="GP85" s="427"/>
      <c r="GQ85" s="427"/>
      <c r="GR85" s="427"/>
      <c r="GS85" s="427"/>
      <c r="GT85" s="427"/>
      <c r="GU85" s="427"/>
      <c r="GV85" s="427"/>
      <c r="GW85" s="427"/>
      <c r="GX85" s="427"/>
      <c r="GY85" s="427"/>
      <c r="GZ85" s="427"/>
      <c r="HA85" s="427"/>
      <c r="HB85" s="427"/>
      <c r="HC85" s="427"/>
      <c r="HD85" s="427"/>
      <c r="HE85" s="427"/>
      <c r="HF85" s="427"/>
      <c r="HG85" s="427"/>
      <c r="HH85" s="427"/>
      <c r="HI85" s="427"/>
      <c r="HJ85" s="427"/>
      <c r="HK85" s="427"/>
      <c r="HL85" s="427"/>
      <c r="HM85" s="427"/>
      <c r="HN85" s="427"/>
      <c r="HO85" s="427"/>
      <c r="HP85" s="427"/>
      <c r="HQ85" s="427"/>
      <c r="HR85" s="427"/>
      <c r="HS85" s="427"/>
      <c r="HT85" s="427"/>
      <c r="HU85" s="427"/>
      <c r="HV85" s="427"/>
      <c r="HW85" s="427"/>
      <c r="HX85" s="427"/>
      <c r="HY85" s="427"/>
      <c r="HZ85" s="427"/>
      <c r="IA85" s="427"/>
      <c r="IB85" s="427"/>
      <c r="IC85" s="427"/>
      <c r="ID85" s="427"/>
      <c r="IE85" s="427"/>
      <c r="IF85" s="427"/>
      <c r="IG85" s="427"/>
      <c r="IH85" s="427"/>
      <c r="II85" s="427"/>
      <c r="IJ85" s="427"/>
      <c r="IK85" s="427"/>
      <c r="IL85" s="427"/>
      <c r="IM85" s="427"/>
      <c r="IN85" s="427"/>
      <c r="IO85" s="427"/>
      <c r="IP85" s="427"/>
      <c r="IQ85" s="427"/>
      <c r="IR85" s="427"/>
      <c r="IS85" s="427"/>
      <c r="IT85" s="427"/>
      <c r="IU85" s="427"/>
      <c r="IV85" s="427"/>
    </row>
    <row r="86" spans="1:256" s="428" customFormat="1" ht="12" customHeight="1">
      <c r="A86" s="516"/>
      <c r="B86" s="32"/>
      <c r="C86" s="32"/>
      <c r="D86" s="435"/>
      <c r="E86" s="435"/>
      <c r="F86" s="435"/>
      <c r="G86" s="435"/>
      <c r="H86" s="435"/>
      <c r="I86" s="435"/>
      <c r="J86" s="435"/>
      <c r="K86" s="435"/>
      <c r="L86" s="435"/>
      <c r="M86" s="435"/>
      <c r="N86" s="435"/>
      <c r="O86" s="435"/>
      <c r="P86" s="435"/>
      <c r="Q86" s="435"/>
      <c r="R86" s="435"/>
      <c r="S86" s="435"/>
      <c r="T86" s="435"/>
      <c r="U86" s="435"/>
      <c r="V86" s="435"/>
      <c r="W86" s="435"/>
      <c r="X86" s="435"/>
      <c r="Y86" s="435"/>
      <c r="Z86" s="435"/>
      <c r="AA86" s="435"/>
      <c r="AB86" s="435"/>
      <c r="AC86" s="424"/>
      <c r="AD86" s="424"/>
      <c r="AE86" s="426"/>
      <c r="AF86" s="426"/>
      <c r="AG86" s="426"/>
      <c r="AH86" s="427"/>
      <c r="AI86" s="427"/>
      <c r="AJ86" s="427"/>
      <c r="AK86" s="427"/>
      <c r="AL86" s="427"/>
      <c r="AM86" s="427"/>
      <c r="AN86" s="427"/>
      <c r="AO86" s="427"/>
      <c r="AP86" s="427"/>
      <c r="AQ86" s="427"/>
      <c r="AR86" s="427"/>
      <c r="AS86" s="427"/>
      <c r="AT86" s="427"/>
      <c r="AU86" s="427"/>
      <c r="AV86" s="427"/>
      <c r="AW86" s="427"/>
      <c r="AX86" s="427"/>
      <c r="AY86" s="427"/>
      <c r="AZ86" s="427"/>
      <c r="BA86" s="427"/>
      <c r="BB86" s="427"/>
      <c r="BC86" s="427"/>
      <c r="BD86" s="427"/>
      <c r="BE86" s="427"/>
      <c r="BF86" s="427"/>
      <c r="BG86" s="427"/>
      <c r="BH86" s="427"/>
      <c r="BI86" s="427"/>
      <c r="BJ86" s="427"/>
      <c r="BK86" s="427"/>
      <c r="BL86" s="427"/>
      <c r="BM86" s="427"/>
      <c r="BN86" s="427"/>
      <c r="BO86" s="427"/>
      <c r="BP86" s="427"/>
      <c r="BQ86" s="427"/>
      <c r="BR86" s="427"/>
      <c r="BS86" s="427"/>
      <c r="BT86" s="427"/>
      <c r="BU86" s="427"/>
      <c r="BV86" s="427"/>
      <c r="BW86" s="427"/>
      <c r="BX86" s="427"/>
      <c r="BY86" s="427"/>
      <c r="BZ86" s="427"/>
      <c r="CA86" s="427"/>
      <c r="CB86" s="427"/>
      <c r="CC86" s="427"/>
      <c r="CD86" s="427"/>
      <c r="CE86" s="427"/>
      <c r="CF86" s="427"/>
      <c r="CG86" s="427"/>
      <c r="CH86" s="427"/>
      <c r="CI86" s="427"/>
      <c r="CJ86" s="427"/>
      <c r="CK86" s="427"/>
      <c r="CL86" s="427"/>
      <c r="CM86" s="427"/>
      <c r="CN86" s="427"/>
      <c r="CO86" s="427"/>
      <c r="CP86" s="427"/>
      <c r="CQ86" s="427"/>
      <c r="CR86" s="427"/>
      <c r="CS86" s="427"/>
      <c r="CT86" s="427"/>
      <c r="CU86" s="427"/>
      <c r="CV86" s="427"/>
      <c r="CW86" s="427"/>
      <c r="CX86" s="427"/>
      <c r="CY86" s="427"/>
      <c r="CZ86" s="427"/>
      <c r="DA86" s="427"/>
      <c r="DB86" s="427"/>
      <c r="DC86" s="427"/>
      <c r="DD86" s="427"/>
      <c r="DE86" s="427"/>
      <c r="DF86" s="427"/>
      <c r="DG86" s="427"/>
      <c r="DH86" s="427"/>
      <c r="DI86" s="427"/>
      <c r="DJ86" s="427"/>
      <c r="DK86" s="427"/>
      <c r="DL86" s="427"/>
      <c r="DM86" s="427"/>
      <c r="DN86" s="427"/>
      <c r="DO86" s="427"/>
      <c r="DP86" s="427"/>
      <c r="DQ86" s="427"/>
      <c r="DR86" s="427"/>
      <c r="DS86" s="427"/>
      <c r="DT86" s="427"/>
      <c r="DU86" s="427"/>
      <c r="DV86" s="427"/>
      <c r="DW86" s="427"/>
      <c r="DX86" s="427"/>
      <c r="DY86" s="427"/>
      <c r="DZ86" s="427"/>
      <c r="EA86" s="427"/>
      <c r="EB86" s="427"/>
      <c r="EC86" s="427"/>
      <c r="ED86" s="427"/>
      <c r="EE86" s="427"/>
      <c r="EF86" s="427"/>
      <c r="EG86" s="427"/>
      <c r="EH86" s="427"/>
      <c r="EI86" s="427"/>
      <c r="EJ86" s="427"/>
      <c r="EK86" s="427"/>
      <c r="EL86" s="427"/>
      <c r="EM86" s="427"/>
      <c r="EN86" s="427"/>
      <c r="EO86" s="427"/>
      <c r="EP86" s="427"/>
      <c r="EQ86" s="427"/>
      <c r="ER86" s="427"/>
      <c r="ES86" s="427"/>
      <c r="ET86" s="427"/>
      <c r="EU86" s="427"/>
      <c r="EV86" s="427"/>
      <c r="EW86" s="427"/>
      <c r="EX86" s="427"/>
      <c r="EY86" s="427"/>
      <c r="EZ86" s="427"/>
      <c r="FA86" s="427"/>
      <c r="FB86" s="427"/>
      <c r="FC86" s="427"/>
      <c r="FD86" s="427"/>
      <c r="FE86" s="427"/>
      <c r="FF86" s="427"/>
      <c r="FG86" s="427"/>
      <c r="FH86" s="427"/>
      <c r="FI86" s="427"/>
      <c r="FJ86" s="427"/>
      <c r="FK86" s="427"/>
      <c r="FL86" s="427"/>
      <c r="FM86" s="427"/>
      <c r="FN86" s="427"/>
      <c r="FO86" s="427"/>
      <c r="FP86" s="427"/>
      <c r="FQ86" s="427"/>
      <c r="FR86" s="427"/>
      <c r="FS86" s="427"/>
      <c r="FT86" s="427"/>
      <c r="FU86" s="427"/>
      <c r="FV86" s="427"/>
      <c r="FW86" s="427"/>
      <c r="FX86" s="427"/>
      <c r="FY86" s="427"/>
      <c r="FZ86" s="427"/>
      <c r="GA86" s="427"/>
      <c r="GB86" s="427"/>
      <c r="GC86" s="427"/>
      <c r="GD86" s="427"/>
      <c r="GE86" s="427"/>
      <c r="GF86" s="427"/>
      <c r="GG86" s="427"/>
      <c r="GH86" s="427"/>
      <c r="GI86" s="427"/>
      <c r="GJ86" s="427"/>
      <c r="GK86" s="427"/>
      <c r="GL86" s="427"/>
      <c r="GM86" s="427"/>
      <c r="GN86" s="427"/>
      <c r="GO86" s="427"/>
      <c r="GP86" s="427"/>
      <c r="GQ86" s="427"/>
      <c r="GR86" s="427"/>
      <c r="GS86" s="427"/>
      <c r="GT86" s="427"/>
      <c r="GU86" s="427"/>
      <c r="GV86" s="427"/>
      <c r="GW86" s="427"/>
      <c r="GX86" s="427"/>
      <c r="GY86" s="427"/>
      <c r="GZ86" s="427"/>
      <c r="HA86" s="427"/>
      <c r="HB86" s="427"/>
      <c r="HC86" s="427"/>
      <c r="HD86" s="427"/>
      <c r="HE86" s="427"/>
      <c r="HF86" s="427"/>
      <c r="HG86" s="427"/>
      <c r="HH86" s="427"/>
      <c r="HI86" s="427"/>
      <c r="HJ86" s="427"/>
      <c r="HK86" s="427"/>
      <c r="HL86" s="427"/>
      <c r="HM86" s="427"/>
      <c r="HN86" s="427"/>
      <c r="HO86" s="427"/>
      <c r="HP86" s="427"/>
      <c r="HQ86" s="427"/>
      <c r="HR86" s="427"/>
      <c r="HS86" s="427"/>
      <c r="HT86" s="427"/>
      <c r="HU86" s="427"/>
      <c r="HV86" s="427"/>
      <c r="HW86" s="427"/>
      <c r="HX86" s="427"/>
      <c r="HY86" s="427"/>
      <c r="HZ86" s="427"/>
      <c r="IA86" s="427"/>
      <c r="IB86" s="427"/>
      <c r="IC86" s="427"/>
      <c r="ID86" s="427"/>
      <c r="IE86" s="427"/>
      <c r="IF86" s="427"/>
      <c r="IG86" s="427"/>
      <c r="IH86" s="427"/>
      <c r="II86" s="427"/>
      <c r="IJ86" s="427"/>
      <c r="IK86" s="427"/>
      <c r="IL86" s="427"/>
      <c r="IM86" s="427"/>
      <c r="IN86" s="427"/>
      <c r="IO86" s="427"/>
      <c r="IP86" s="427"/>
      <c r="IQ86" s="427"/>
      <c r="IR86" s="427"/>
      <c r="IS86" s="427"/>
      <c r="IT86" s="427"/>
      <c r="IU86" s="427"/>
      <c r="IV86" s="427"/>
    </row>
    <row r="87" spans="1:256" s="425" customFormat="1" ht="12" customHeight="1">
      <c r="A87" s="517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  <c r="AA87" s="424"/>
      <c r="AB87" s="424"/>
      <c r="AC87" s="424"/>
      <c r="AD87" s="424"/>
      <c r="AE87" s="14"/>
      <c r="AF87" s="14"/>
      <c r="AG87" s="14"/>
    </row>
    <row r="88" spans="1:256" s="425" customFormat="1" ht="12" customHeight="1">
      <c r="A88" s="225" t="s">
        <v>83</v>
      </c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  <c r="AA88" s="424"/>
      <c r="AB88" s="424"/>
      <c r="AC88" s="424"/>
      <c r="AD88" s="424"/>
      <c r="AE88" s="14"/>
      <c r="AF88" s="14"/>
      <c r="AG88" s="14"/>
    </row>
    <row r="89" spans="1:256" s="425" customFormat="1" ht="12" customHeight="1">
      <c r="A89" s="225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  <c r="AA89" s="424"/>
      <c r="AB89" s="424"/>
      <c r="AC89" s="424"/>
      <c r="AD89" s="424"/>
      <c r="AE89" s="14"/>
      <c r="AF89" s="14"/>
      <c r="AG89" s="14"/>
    </row>
    <row r="90" spans="1:256" outlineLevel="1">
      <c r="A90" s="21" t="s">
        <v>271</v>
      </c>
      <c r="B90" s="20">
        <f>B39-B12</f>
        <v>157.27334270075153</v>
      </c>
      <c r="C90" s="20">
        <f>C39-C12</f>
        <v>187.46301483671414</v>
      </c>
      <c r="D90" s="20">
        <f>D39-D12</f>
        <v>320.15229792330683</v>
      </c>
      <c r="E90" s="20">
        <f t="shared" ref="E90:U90" si="24">E39</f>
        <v>15887.946289068132</v>
      </c>
      <c r="F90" s="20">
        <f t="shared" si="24"/>
        <v>18219.250836348998</v>
      </c>
      <c r="G90" s="20">
        <f t="shared" si="24"/>
        <v>19327.388562229535</v>
      </c>
      <c r="H90" s="20">
        <f t="shared" si="24"/>
        <v>20458.895914033419</v>
      </c>
      <c r="I90" s="20">
        <f t="shared" si="24"/>
        <v>21691.119919939876</v>
      </c>
      <c r="J90" s="20">
        <f t="shared" si="24"/>
        <v>23176.427556344439</v>
      </c>
      <c r="K90" s="20">
        <f t="shared" si="24"/>
        <v>24831.951836314322</v>
      </c>
      <c r="L90" s="20">
        <f t="shared" si="24"/>
        <v>25982.724346895622</v>
      </c>
      <c r="M90" s="20">
        <f t="shared" si="24"/>
        <v>27369.158562334116</v>
      </c>
      <c r="N90" s="20">
        <f t="shared" si="24"/>
        <v>28804.657214989693</v>
      </c>
      <c r="O90" s="20">
        <f t="shared" si="24"/>
        <v>30222.855143577435</v>
      </c>
      <c r="P90" s="20">
        <f t="shared" si="24"/>
        <v>31657.411999979064</v>
      </c>
      <c r="Q90" s="20">
        <f t="shared" si="24"/>
        <v>33240.663031923716</v>
      </c>
      <c r="R90" s="20">
        <f t="shared" si="24"/>
        <v>34890.030239033935</v>
      </c>
      <c r="S90" s="20">
        <f t="shared" si="24"/>
        <v>36489.395118075285</v>
      </c>
      <c r="T90" s="20">
        <f t="shared" si="24"/>
        <v>37960.28631204999</v>
      </c>
      <c r="U90" s="20">
        <f t="shared" si="24"/>
        <v>39437.358742410572</v>
      </c>
      <c r="W90" s="420">
        <f>SUM(B90:U90)</f>
        <v>470312.41028100892</v>
      </c>
    </row>
    <row r="91" spans="1:256" outlineLevel="1">
      <c r="A91" s="21" t="s">
        <v>132</v>
      </c>
      <c r="B91" s="20">
        <f>B33</f>
        <v>7011.6877311229173</v>
      </c>
      <c r="C91" s="20">
        <f t="shared" ref="C91:U91" si="25">C33</f>
        <v>7011.6877311229173</v>
      </c>
      <c r="D91" s="20">
        <f t="shared" si="25"/>
        <v>7011.6877311229173</v>
      </c>
      <c r="E91" s="20">
        <f t="shared" si="25"/>
        <v>7011.6877311229173</v>
      </c>
      <c r="F91" s="20">
        <f t="shared" si="25"/>
        <v>7011.6877311229173</v>
      </c>
      <c r="G91" s="20">
        <f t="shared" si="25"/>
        <v>7011.6877311229173</v>
      </c>
      <c r="H91" s="20">
        <f t="shared" si="25"/>
        <v>7011.6877311229173</v>
      </c>
      <c r="I91" s="20">
        <f t="shared" si="25"/>
        <v>7011.6877311229173</v>
      </c>
      <c r="J91" s="20">
        <f t="shared" si="25"/>
        <v>7011.6877311229173</v>
      </c>
      <c r="K91" s="20">
        <f t="shared" si="25"/>
        <v>7011.6877311229173</v>
      </c>
      <c r="L91" s="20">
        <f t="shared" si="25"/>
        <v>7011.6877311229173</v>
      </c>
      <c r="M91" s="20">
        <f t="shared" si="25"/>
        <v>7011.6877311229173</v>
      </c>
      <c r="N91" s="20">
        <f t="shared" si="25"/>
        <v>7011.6877311229173</v>
      </c>
      <c r="O91" s="20">
        <f t="shared" si="25"/>
        <v>7011.6877311229173</v>
      </c>
      <c r="P91" s="20">
        <f t="shared" si="25"/>
        <v>7011.6877311229173</v>
      </c>
      <c r="Q91" s="20">
        <f t="shared" si="25"/>
        <v>7011.6877311229173</v>
      </c>
      <c r="R91" s="20">
        <f t="shared" si="25"/>
        <v>7011.6877311229173</v>
      </c>
      <c r="S91" s="20">
        <f t="shared" si="25"/>
        <v>7011.6877311229173</v>
      </c>
      <c r="T91" s="20">
        <f t="shared" si="25"/>
        <v>7011.6877311229173</v>
      </c>
      <c r="U91" s="20">
        <f t="shared" si="25"/>
        <v>7011.6877311229173</v>
      </c>
      <c r="W91" s="420">
        <f>SUM(B91:U91)</f>
        <v>140233.75462245833</v>
      </c>
    </row>
    <row r="92" spans="1:256" ht="15" outlineLevel="1">
      <c r="A92" s="21" t="s">
        <v>200</v>
      </c>
      <c r="B92" s="228">
        <f>-Depreciation!C93</f>
        <v>-10245.723188278003</v>
      </c>
      <c r="C92" s="228">
        <f>-Depreciation!D93</f>
        <v>-19466.874057728204</v>
      </c>
      <c r="D92" s="228">
        <f>-Depreciation!E93</f>
        <v>-17520.186651955384</v>
      </c>
      <c r="E92" s="228">
        <f>-Depreciation!F93</f>
        <v>-15778.413709948123</v>
      </c>
      <c r="F92" s="228">
        <f>-Depreciation!G93</f>
        <v>-14200.57233895331</v>
      </c>
      <c r="G92" s="228">
        <f>-Depreciation!H93</f>
        <v>-12766.17109259439</v>
      </c>
      <c r="H92" s="228">
        <f>-Depreciation!I93</f>
        <v>-12089.953362168042</v>
      </c>
      <c r="I92" s="228">
        <f>-Depreciation!J93</f>
        <v>-12110.444808544598</v>
      </c>
      <c r="J92" s="228">
        <f>-Depreciation!K93</f>
        <v>-12089.953362168042</v>
      </c>
      <c r="K92" s="228">
        <f>-Depreciation!L93</f>
        <v>-12110.444808544598</v>
      </c>
      <c r="L92" s="228">
        <f>-Depreciation!M93</f>
        <v>-12089.953362168042</v>
      </c>
      <c r="M92" s="228">
        <f>-Depreciation!N93</f>
        <v>-12110.444808544598</v>
      </c>
      <c r="N92" s="228">
        <f>-Depreciation!O93</f>
        <v>-12089.953362168042</v>
      </c>
      <c r="O92" s="228">
        <f>-Depreciation!P93</f>
        <v>-12110.444808544598</v>
      </c>
      <c r="P92" s="228">
        <f>-Depreciation!Q93</f>
        <v>-12089.953362168042</v>
      </c>
      <c r="Q92" s="228">
        <f>-Depreciation!R93</f>
        <v>-6044.976681084021</v>
      </c>
      <c r="R92" s="228">
        <f>-Depreciation!S93</f>
        <v>0</v>
      </c>
      <c r="S92" s="228">
        <f>-Depreciation!T93</f>
        <v>0</v>
      </c>
      <c r="T92" s="228">
        <f>-Depreciation!U93</f>
        <v>0</v>
      </c>
      <c r="U92" s="228">
        <f>-Depreciation!V93</f>
        <v>0</v>
      </c>
      <c r="W92" s="421">
        <f>SUM(B92:U92)</f>
        <v>-204914.46376556004</v>
      </c>
    </row>
    <row r="93" spans="1:256" outlineLevel="1">
      <c r="A93" s="227" t="s">
        <v>131</v>
      </c>
      <c r="B93" s="22">
        <f t="shared" ref="B93:U93" si="26">SUM(B90:B92)</f>
        <v>-3076.7621144543346</v>
      </c>
      <c r="C93" s="22">
        <f t="shared" si="26"/>
        <v>-12267.723311768572</v>
      </c>
      <c r="D93" s="22">
        <f t="shared" si="26"/>
        <v>-10188.346622909161</v>
      </c>
      <c r="E93" s="22">
        <f t="shared" si="26"/>
        <v>7121.2203102429266</v>
      </c>
      <c r="F93" s="22">
        <f t="shared" si="26"/>
        <v>11030.366228518606</v>
      </c>
      <c r="G93" s="22">
        <f t="shared" si="26"/>
        <v>13572.905200758063</v>
      </c>
      <c r="H93" s="22">
        <f t="shared" si="26"/>
        <v>15380.630282988295</v>
      </c>
      <c r="I93" s="22">
        <f t="shared" si="26"/>
        <v>16592.362842518196</v>
      </c>
      <c r="J93" s="22">
        <f t="shared" si="26"/>
        <v>18098.161925299315</v>
      </c>
      <c r="K93" s="22">
        <f t="shared" si="26"/>
        <v>19733.194758892641</v>
      </c>
      <c r="L93" s="22">
        <f t="shared" si="26"/>
        <v>20904.458715850498</v>
      </c>
      <c r="M93" s="22">
        <f t="shared" si="26"/>
        <v>22270.401484912436</v>
      </c>
      <c r="N93" s="22">
        <f t="shared" si="26"/>
        <v>23726.391583944565</v>
      </c>
      <c r="O93" s="22">
        <f t="shared" si="26"/>
        <v>25124.098066155755</v>
      </c>
      <c r="P93" s="22">
        <f t="shared" si="26"/>
        <v>26579.14636893394</v>
      </c>
      <c r="Q93" s="22">
        <f t="shared" si="26"/>
        <v>34207.374081962611</v>
      </c>
      <c r="R93" s="22">
        <f t="shared" si="26"/>
        <v>41901.717970156853</v>
      </c>
      <c r="S93" s="22">
        <f t="shared" si="26"/>
        <v>43501.082849198203</v>
      </c>
      <c r="T93" s="22">
        <f t="shared" si="26"/>
        <v>44971.974043172908</v>
      </c>
      <c r="U93" s="22">
        <f t="shared" si="26"/>
        <v>46449.04647353349</v>
      </c>
      <c r="W93" s="420">
        <f>SUM(B93:U93)</f>
        <v>405631.70113790722</v>
      </c>
    </row>
    <row r="94" spans="1:256" outlineLevel="1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</row>
    <row r="95" spans="1:256" outlineLevel="1">
      <c r="A95" s="21" t="s">
        <v>39</v>
      </c>
      <c r="B95" s="418">
        <f>Assumptions!$H$38</f>
        <v>4.4999999999999998E-2</v>
      </c>
      <c r="C95" s="418">
        <f>Assumptions!$H$38</f>
        <v>4.4999999999999998E-2</v>
      </c>
      <c r="D95" s="418">
        <f>Assumptions!$H$38</f>
        <v>4.4999999999999998E-2</v>
      </c>
      <c r="E95" s="418">
        <f>Assumptions!$H$38</f>
        <v>4.4999999999999998E-2</v>
      </c>
      <c r="F95" s="418">
        <f>Assumptions!$H$38</f>
        <v>4.4999999999999998E-2</v>
      </c>
      <c r="G95" s="418">
        <f>Assumptions!$H$38</f>
        <v>4.4999999999999998E-2</v>
      </c>
      <c r="H95" s="418">
        <f>Assumptions!$H$38</f>
        <v>4.4999999999999998E-2</v>
      </c>
      <c r="I95" s="418">
        <f>Assumptions!$H$38</f>
        <v>4.4999999999999998E-2</v>
      </c>
      <c r="J95" s="418">
        <f>Assumptions!$H$38</f>
        <v>4.4999999999999998E-2</v>
      </c>
      <c r="K95" s="418">
        <f>Assumptions!$H$38</f>
        <v>4.4999999999999998E-2</v>
      </c>
      <c r="L95" s="418">
        <f>Assumptions!$H$38</f>
        <v>4.4999999999999998E-2</v>
      </c>
      <c r="M95" s="418">
        <f>Assumptions!$H$38</f>
        <v>4.4999999999999998E-2</v>
      </c>
      <c r="N95" s="418">
        <f>Assumptions!$H$38</f>
        <v>4.4999999999999998E-2</v>
      </c>
      <c r="O95" s="418">
        <f>Assumptions!$H$38</f>
        <v>4.4999999999999998E-2</v>
      </c>
      <c r="P95" s="418">
        <f>Assumptions!$H$38</f>
        <v>4.4999999999999998E-2</v>
      </c>
      <c r="Q95" s="418">
        <f>Assumptions!$H$38</f>
        <v>4.4999999999999998E-2</v>
      </c>
      <c r="R95" s="418">
        <f>Assumptions!$H$38</f>
        <v>4.4999999999999998E-2</v>
      </c>
      <c r="S95" s="418">
        <f>Assumptions!$H$38</f>
        <v>4.4999999999999998E-2</v>
      </c>
      <c r="T95" s="418">
        <f>Assumptions!$H$38</f>
        <v>4.4999999999999998E-2</v>
      </c>
      <c r="U95" s="418">
        <f>Assumptions!$H$38</f>
        <v>4.4999999999999998E-2</v>
      </c>
    </row>
    <row r="96" spans="1:256" outlineLevel="1">
      <c r="A96" s="21" t="s">
        <v>133</v>
      </c>
      <c r="B96" s="20">
        <f>B93*B95</f>
        <v>-138.45429515044506</v>
      </c>
      <c r="C96" s="20">
        <f t="shared" ref="C96:U96" si="27">C93*C95</f>
        <v>-552.04754902958575</v>
      </c>
      <c r="D96" s="20">
        <f t="shared" si="27"/>
        <v>-458.47559803091224</v>
      </c>
      <c r="E96" s="20">
        <f t="shared" si="27"/>
        <v>320.45491396093166</v>
      </c>
      <c r="F96" s="20">
        <f t="shared" si="27"/>
        <v>496.36648028333724</v>
      </c>
      <c r="G96" s="20">
        <f t="shared" si="27"/>
        <v>610.78073403411281</v>
      </c>
      <c r="H96" s="20">
        <f t="shared" si="27"/>
        <v>692.12836273447328</v>
      </c>
      <c r="I96" s="20">
        <f t="shared" si="27"/>
        <v>746.65632791331882</v>
      </c>
      <c r="J96" s="20">
        <f t="shared" si="27"/>
        <v>814.41728663846914</v>
      </c>
      <c r="K96" s="20">
        <f t="shared" si="27"/>
        <v>887.99376415016889</v>
      </c>
      <c r="L96" s="20">
        <f t="shared" si="27"/>
        <v>940.70064221327243</v>
      </c>
      <c r="M96" s="20">
        <f t="shared" si="27"/>
        <v>1002.1680668210596</v>
      </c>
      <c r="N96" s="20">
        <f t="shared" si="27"/>
        <v>1067.6876212775055</v>
      </c>
      <c r="O96" s="20">
        <f t="shared" si="27"/>
        <v>1130.5844129770089</v>
      </c>
      <c r="P96" s="20">
        <f t="shared" si="27"/>
        <v>1196.0615866020273</v>
      </c>
      <c r="Q96" s="20">
        <f t="shared" si="27"/>
        <v>1539.3318336883174</v>
      </c>
      <c r="R96" s="20">
        <f t="shared" si="27"/>
        <v>1885.5773086570582</v>
      </c>
      <c r="S96" s="20">
        <f t="shared" si="27"/>
        <v>1957.548728213919</v>
      </c>
      <c r="T96" s="20">
        <f t="shared" si="27"/>
        <v>2023.7388319427807</v>
      </c>
      <c r="U96" s="20">
        <f t="shared" si="27"/>
        <v>2090.207091309007</v>
      </c>
    </row>
    <row r="97" spans="1:23" outlineLevel="1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</row>
    <row r="98" spans="1:23" outlineLevel="1">
      <c r="A98" s="21" t="s">
        <v>134</v>
      </c>
      <c r="B98" s="20">
        <v>0</v>
      </c>
      <c r="C98" s="20">
        <f t="shared" ref="C98:U98" si="28">B102</f>
        <v>138.45429515044506</v>
      </c>
      <c r="D98" s="20">
        <f t="shared" si="28"/>
        <v>690.50184418003084</v>
      </c>
      <c r="E98" s="20">
        <f t="shared" si="28"/>
        <v>1148.9774422109431</v>
      </c>
      <c r="F98" s="20">
        <f t="shared" si="28"/>
        <v>828.52252825001142</v>
      </c>
      <c r="G98" s="20">
        <f t="shared" si="28"/>
        <v>332.15604796667418</v>
      </c>
      <c r="H98" s="20">
        <f t="shared" si="28"/>
        <v>0</v>
      </c>
      <c r="I98" s="20">
        <f t="shared" si="28"/>
        <v>0</v>
      </c>
      <c r="J98" s="20">
        <f t="shared" si="28"/>
        <v>0</v>
      </c>
      <c r="K98" s="20">
        <f t="shared" si="28"/>
        <v>0</v>
      </c>
      <c r="L98" s="20">
        <f t="shared" si="28"/>
        <v>0</v>
      </c>
      <c r="M98" s="20">
        <f t="shared" si="28"/>
        <v>0</v>
      </c>
      <c r="N98" s="20">
        <f>M102</f>
        <v>0</v>
      </c>
      <c r="O98" s="20">
        <f t="shared" si="28"/>
        <v>0</v>
      </c>
      <c r="P98" s="20">
        <f t="shared" si="28"/>
        <v>0</v>
      </c>
      <c r="Q98" s="20">
        <f t="shared" si="28"/>
        <v>0</v>
      </c>
      <c r="R98" s="20">
        <v>0</v>
      </c>
      <c r="S98" s="20">
        <f t="shared" si="28"/>
        <v>0</v>
      </c>
      <c r="T98" s="20">
        <f t="shared" si="28"/>
        <v>0</v>
      </c>
      <c r="U98" s="20">
        <f t="shared" si="28"/>
        <v>0</v>
      </c>
    </row>
    <row r="99" spans="1:23" outlineLevel="1">
      <c r="A99" s="21" t="s">
        <v>135</v>
      </c>
      <c r="B99" s="239">
        <f t="shared" ref="B99:U99" si="29">IF(B68&gt;2020,0,IF(B96&lt;0,-B96,0))</f>
        <v>138.45429515044506</v>
      </c>
      <c r="C99" s="239">
        <f t="shared" si="29"/>
        <v>552.04754902958575</v>
      </c>
      <c r="D99" s="239">
        <f t="shared" si="29"/>
        <v>458.47559803091224</v>
      </c>
      <c r="E99" s="239">
        <f t="shared" si="29"/>
        <v>0</v>
      </c>
      <c r="F99" s="239">
        <f t="shared" si="29"/>
        <v>0</v>
      </c>
      <c r="G99" s="239">
        <f t="shared" si="29"/>
        <v>0</v>
      </c>
      <c r="H99" s="239">
        <f t="shared" si="29"/>
        <v>0</v>
      </c>
      <c r="I99" s="239">
        <f t="shared" si="29"/>
        <v>0</v>
      </c>
      <c r="J99" s="239">
        <f t="shared" si="29"/>
        <v>0</v>
      </c>
      <c r="K99" s="239">
        <f t="shared" si="29"/>
        <v>0</v>
      </c>
      <c r="L99" s="239">
        <f t="shared" si="29"/>
        <v>0</v>
      </c>
      <c r="M99" s="239">
        <f t="shared" si="29"/>
        <v>0</v>
      </c>
      <c r="N99" s="239">
        <f t="shared" si="29"/>
        <v>0</v>
      </c>
      <c r="O99" s="239">
        <f t="shared" si="29"/>
        <v>0</v>
      </c>
      <c r="P99" s="239">
        <f t="shared" si="29"/>
        <v>0</v>
      </c>
      <c r="Q99" s="239">
        <f t="shared" si="29"/>
        <v>0</v>
      </c>
      <c r="R99" s="239">
        <f t="shared" si="29"/>
        <v>0</v>
      </c>
      <c r="S99" s="239">
        <f t="shared" si="29"/>
        <v>0</v>
      </c>
      <c r="T99" s="239">
        <f t="shared" si="29"/>
        <v>0</v>
      </c>
      <c r="U99" s="239">
        <f t="shared" si="29"/>
        <v>0</v>
      </c>
    </row>
    <row r="100" spans="1:23" outlineLevel="1">
      <c r="A100" s="21" t="s">
        <v>136</v>
      </c>
      <c r="B100" s="229">
        <v>0</v>
      </c>
      <c r="C100" s="229">
        <v>0</v>
      </c>
      <c r="D100" s="229">
        <v>0</v>
      </c>
      <c r="E100" s="229">
        <v>0</v>
      </c>
      <c r="F100" s="229">
        <v>0</v>
      </c>
      <c r="G100" s="229">
        <v>0</v>
      </c>
      <c r="H100" s="229">
        <v>0</v>
      </c>
      <c r="I100" s="229">
        <v>0</v>
      </c>
      <c r="J100" s="229">
        <v>0</v>
      </c>
      <c r="K100" s="229">
        <v>0</v>
      </c>
      <c r="L100" s="229">
        <v>0</v>
      </c>
      <c r="M100" s="229">
        <v>0</v>
      </c>
      <c r="N100" s="229">
        <v>0</v>
      </c>
      <c r="O100" s="229">
        <v>0</v>
      </c>
      <c r="P100" s="229">
        <v>0</v>
      </c>
      <c r="Q100" s="229">
        <v>0</v>
      </c>
      <c r="R100" s="229">
        <v>0</v>
      </c>
      <c r="S100" s="229">
        <v>0</v>
      </c>
      <c r="T100" s="20">
        <f>IF(L99&gt;(SUM(M101:S101)+SUM(L100:S100))*-1,L99-(SUM(L101:S101)+SUM(L100:S100))*-1,0)</f>
        <v>0</v>
      </c>
      <c r="U100" s="20">
        <f>IF(M99&gt;(SUM(N101:T101)+SUM(M100:T100))*-1,M99-(SUM(M101:T101)+SUM(M100:T100))*-1,0)</f>
        <v>0</v>
      </c>
    </row>
    <row r="101" spans="1:23" outlineLevel="1">
      <c r="A101" s="17" t="s">
        <v>137</v>
      </c>
      <c r="B101" s="230">
        <f t="shared" ref="B101:T101" si="30">IF(B96&lt;0,0,IF(B98&gt;B96,-B96,-B98))</f>
        <v>0</v>
      </c>
      <c r="C101" s="230">
        <f t="shared" si="30"/>
        <v>0</v>
      </c>
      <c r="D101" s="230">
        <f t="shared" si="30"/>
        <v>0</v>
      </c>
      <c r="E101" s="230">
        <f t="shared" si="30"/>
        <v>-320.45491396093166</v>
      </c>
      <c r="F101" s="230">
        <f t="shared" si="30"/>
        <v>-496.36648028333724</v>
      </c>
      <c r="G101" s="230">
        <f t="shared" si="30"/>
        <v>-332.15604796667418</v>
      </c>
      <c r="H101" s="230">
        <f t="shared" si="30"/>
        <v>0</v>
      </c>
      <c r="I101" s="230">
        <f t="shared" si="30"/>
        <v>0</v>
      </c>
      <c r="J101" s="230">
        <f t="shared" si="30"/>
        <v>0</v>
      </c>
      <c r="K101" s="230">
        <f t="shared" si="30"/>
        <v>0</v>
      </c>
      <c r="L101" s="230">
        <f t="shared" si="30"/>
        <v>0</v>
      </c>
      <c r="M101" s="230">
        <f t="shared" si="30"/>
        <v>0</v>
      </c>
      <c r="N101" s="230">
        <f t="shared" si="30"/>
        <v>0</v>
      </c>
      <c r="O101" s="230">
        <f t="shared" si="30"/>
        <v>0</v>
      </c>
      <c r="P101" s="230">
        <f t="shared" si="30"/>
        <v>0</v>
      </c>
      <c r="Q101" s="230">
        <f t="shared" si="30"/>
        <v>0</v>
      </c>
      <c r="R101" s="230">
        <f t="shared" si="30"/>
        <v>0</v>
      </c>
      <c r="S101" s="230">
        <f t="shared" si="30"/>
        <v>0</v>
      </c>
      <c r="T101" s="230">
        <f t="shared" si="30"/>
        <v>0</v>
      </c>
      <c r="U101" s="230">
        <f>IF(U96&lt;0,0,IF(U98&gt;U96,-U96,-U98))</f>
        <v>0</v>
      </c>
    </row>
    <row r="102" spans="1:23" outlineLevel="1">
      <c r="A102" s="17" t="s">
        <v>138</v>
      </c>
      <c r="B102" s="230">
        <f t="shared" ref="B102:U102" si="31">SUM(B98:B101)</f>
        <v>138.45429515044506</v>
      </c>
      <c r="C102" s="230">
        <f t="shared" si="31"/>
        <v>690.50184418003084</v>
      </c>
      <c r="D102" s="230">
        <f t="shared" si="31"/>
        <v>1148.9774422109431</v>
      </c>
      <c r="E102" s="230">
        <f t="shared" si="31"/>
        <v>828.52252825001142</v>
      </c>
      <c r="F102" s="230">
        <f t="shared" si="31"/>
        <v>332.15604796667418</v>
      </c>
      <c r="G102" s="230">
        <f t="shared" si="31"/>
        <v>0</v>
      </c>
      <c r="H102" s="230">
        <f t="shared" si="31"/>
        <v>0</v>
      </c>
      <c r="I102" s="230">
        <f t="shared" si="31"/>
        <v>0</v>
      </c>
      <c r="J102" s="230">
        <f t="shared" si="31"/>
        <v>0</v>
      </c>
      <c r="K102" s="230">
        <f t="shared" si="31"/>
        <v>0</v>
      </c>
      <c r="L102" s="230">
        <f t="shared" si="31"/>
        <v>0</v>
      </c>
      <c r="M102" s="230">
        <f t="shared" si="31"/>
        <v>0</v>
      </c>
      <c r="N102" s="230">
        <f t="shared" si="31"/>
        <v>0</v>
      </c>
      <c r="O102" s="230">
        <f t="shared" si="31"/>
        <v>0</v>
      </c>
      <c r="P102" s="230">
        <f t="shared" si="31"/>
        <v>0</v>
      </c>
      <c r="Q102" s="230">
        <f t="shared" si="31"/>
        <v>0</v>
      </c>
      <c r="R102" s="230">
        <f t="shared" si="31"/>
        <v>0</v>
      </c>
      <c r="S102" s="230">
        <f t="shared" si="31"/>
        <v>0</v>
      </c>
      <c r="T102" s="230">
        <f t="shared" si="31"/>
        <v>0</v>
      </c>
      <c r="U102" s="230">
        <f t="shared" si="31"/>
        <v>0</v>
      </c>
    </row>
    <row r="103" spans="1:23" outlineLevel="1">
      <c r="A103" s="17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</row>
    <row r="104" spans="1:23" ht="13.5" outlineLevel="1" thickBot="1">
      <c r="A104" s="32" t="s">
        <v>130</v>
      </c>
      <c r="B104" s="408">
        <f>IF(B96&lt;0,0,B96+B101)</f>
        <v>0</v>
      </c>
      <c r="C104" s="408">
        <f t="shared" ref="C104:U104" si="32">IF(C96&lt;0,0,C96+C101)</f>
        <v>0</v>
      </c>
      <c r="D104" s="408">
        <f t="shared" si="32"/>
        <v>0</v>
      </c>
      <c r="E104" s="408">
        <f t="shared" si="32"/>
        <v>0</v>
      </c>
      <c r="F104" s="408">
        <f t="shared" si="32"/>
        <v>0</v>
      </c>
      <c r="G104" s="408">
        <f t="shared" si="32"/>
        <v>278.62468606743863</v>
      </c>
      <c r="H104" s="408">
        <f t="shared" si="32"/>
        <v>692.12836273447328</v>
      </c>
      <c r="I104" s="408">
        <f t="shared" si="32"/>
        <v>746.65632791331882</v>
      </c>
      <c r="J104" s="408">
        <f t="shared" si="32"/>
        <v>814.41728663846914</v>
      </c>
      <c r="K104" s="408">
        <f t="shared" si="32"/>
        <v>887.99376415016889</v>
      </c>
      <c r="L104" s="408">
        <f t="shared" si="32"/>
        <v>940.70064221327243</v>
      </c>
      <c r="M104" s="408">
        <f t="shared" si="32"/>
        <v>1002.1680668210596</v>
      </c>
      <c r="N104" s="408">
        <f t="shared" si="32"/>
        <v>1067.6876212775055</v>
      </c>
      <c r="O104" s="408">
        <f t="shared" si="32"/>
        <v>1130.5844129770089</v>
      </c>
      <c r="P104" s="408">
        <f t="shared" si="32"/>
        <v>1196.0615866020273</v>
      </c>
      <c r="Q104" s="408">
        <f t="shared" si="32"/>
        <v>1539.3318336883174</v>
      </c>
      <c r="R104" s="408">
        <f t="shared" si="32"/>
        <v>1885.5773086570582</v>
      </c>
      <c r="S104" s="408">
        <f t="shared" si="32"/>
        <v>1957.548728213919</v>
      </c>
      <c r="T104" s="408">
        <f t="shared" si="32"/>
        <v>2023.7388319427807</v>
      </c>
      <c r="U104" s="408">
        <f t="shared" si="32"/>
        <v>2090.207091309007</v>
      </c>
      <c r="W104" s="400">
        <f>SUM(B104:U104)</f>
        <v>18253.426551205823</v>
      </c>
    </row>
    <row r="105" spans="1:23" ht="14.25" customHeight="1" outlineLevel="1" thickTop="1">
      <c r="A105" s="80"/>
      <c r="B105" s="69"/>
      <c r="C105" s="6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ht="13.5" outlineLevel="1" thickBot="1">
      <c r="A106" s="32" t="s">
        <v>243</v>
      </c>
      <c r="B106" s="408">
        <f>B85+B104</f>
        <v>296.48996776542862</v>
      </c>
      <c r="C106" s="408">
        <f t="shared" ref="C106:U106" si="33">C85+C104</f>
        <v>297.14384874839141</v>
      </c>
      <c r="D106" s="408">
        <f t="shared" si="33"/>
        <v>297.8207467523431</v>
      </c>
      <c r="E106" s="408">
        <f t="shared" si="33"/>
        <v>540.19017382831646</v>
      </c>
      <c r="F106" s="408">
        <f t="shared" si="33"/>
        <v>619.454528435866</v>
      </c>
      <c r="G106" s="408">
        <f t="shared" si="33"/>
        <v>935.75589718324295</v>
      </c>
      <c r="H106" s="408">
        <f t="shared" si="33"/>
        <v>1387.7308238116098</v>
      </c>
      <c r="I106" s="408">
        <f t="shared" si="33"/>
        <v>1484.1544051912747</v>
      </c>
      <c r="J106" s="408">
        <f t="shared" si="33"/>
        <v>1602.41582355418</v>
      </c>
      <c r="K106" s="408">
        <f t="shared" si="33"/>
        <v>1732.2801265848559</v>
      </c>
      <c r="L106" s="408">
        <f t="shared" si="33"/>
        <v>1824.1132700077237</v>
      </c>
      <c r="M106" s="408">
        <f t="shared" si="33"/>
        <v>1932.7194579404195</v>
      </c>
      <c r="N106" s="408">
        <f t="shared" si="33"/>
        <v>2047.0459665871551</v>
      </c>
      <c r="O106" s="408">
        <f t="shared" si="33"/>
        <v>2158.1614878586415</v>
      </c>
      <c r="P106" s="408">
        <f t="shared" si="33"/>
        <v>2272.4135946013157</v>
      </c>
      <c r="Q106" s="408">
        <f t="shared" si="33"/>
        <v>2669.5143767737236</v>
      </c>
      <c r="R106" s="408">
        <f t="shared" si="33"/>
        <v>3071.8383367842121</v>
      </c>
      <c r="S106" s="408">
        <f t="shared" si="33"/>
        <v>3198.1881622284791</v>
      </c>
      <c r="T106" s="408">
        <f t="shared" si="33"/>
        <v>3314.3885665524804</v>
      </c>
      <c r="U106" s="408">
        <f t="shared" si="33"/>
        <v>3431.0772885509664</v>
      </c>
      <c r="W106" s="400">
        <f>SUM(B106:U106)</f>
        <v>35112.896849740624</v>
      </c>
    </row>
    <row r="107" spans="1:23" ht="13.5" outlineLevel="1" thickTop="1">
      <c r="A107" s="80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 spans="1:23" outlineLevel="1">
      <c r="A108" s="83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 spans="1:23" outlineLevel="1">
      <c r="A109" s="83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:23" outlineLevel="1">
      <c r="A110" s="519"/>
      <c r="B110" s="519"/>
      <c r="C110" s="519"/>
      <c r="D110" s="519"/>
      <c r="E110" s="519"/>
      <c r="F110" s="519"/>
      <c r="G110" s="519"/>
      <c r="H110" s="519"/>
      <c r="I110" s="519"/>
      <c r="J110" s="519"/>
      <c r="K110" s="519"/>
      <c r="L110" s="519"/>
      <c r="M110" s="519"/>
      <c r="N110" s="519"/>
      <c r="O110" s="519"/>
      <c r="P110" s="519"/>
      <c r="Q110" s="519"/>
      <c r="R110" s="519"/>
      <c r="S110" s="519"/>
      <c r="T110" s="519"/>
      <c r="U110" s="519"/>
    </row>
    <row r="111" spans="1:23" outlineLevel="1">
      <c r="A111" s="7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522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outlineLevel="1">
      <c r="A113" s="523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</row>
    <row r="115" spans="1:21" ht="18.75" outlineLevel="1">
      <c r="A115" s="84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</row>
    <row r="116" spans="1:21" outlineLevel="1">
      <c r="A116" s="57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</row>
    <row r="117" spans="1:21" outlineLevel="1">
      <c r="A117" s="57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</row>
    <row r="118" spans="1:21" outlineLevel="1">
      <c r="A118" s="7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</row>
    <row r="119" spans="1:21" outlineLevel="1">
      <c r="A119" s="7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</row>
    <row r="120" spans="1:21" outlineLevel="1">
      <c r="A120" s="2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1:21" outlineLevel="1">
      <c r="A121" s="80"/>
      <c r="B121" s="69"/>
      <c r="C121" s="6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79"/>
      <c r="B122" s="69"/>
      <c r="C122" s="6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9"/>
      <c r="B123" s="69"/>
      <c r="C123" s="6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8"/>
      <c r="B124" s="69"/>
      <c r="C124" s="6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69"/>
      <c r="B125" s="69"/>
      <c r="C125" s="6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0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79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79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69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80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69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80"/>
      <c r="B134" s="69"/>
      <c r="C134" s="6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79"/>
      <c r="B135" s="69"/>
      <c r="C135" s="6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69"/>
      <c r="C136" s="6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outlineLevel="1">
      <c r="A137" s="82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79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outlineLevel="1">
      <c r="A139" s="78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79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78"/>
      <c r="B141" s="69"/>
      <c r="C141" s="6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outlineLevel="1">
      <c r="A142" s="79"/>
      <c r="B142" s="69"/>
      <c r="C142" s="6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outlineLevel="1">
      <c r="A143" s="79"/>
      <c r="B143" s="69"/>
      <c r="C143" s="6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</row>
    <row r="144" spans="1:21" outlineLevel="1">
      <c r="A144" s="79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79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9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80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81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7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82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82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79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7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78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80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80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80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80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80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</row>
    <row r="164" spans="1:21" outlineLevel="1">
      <c r="A164" s="7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</row>
    <row r="165" spans="1:21" outlineLevel="1">
      <c r="A165" s="7"/>
      <c r="B165" s="7"/>
      <c r="C165" s="7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</row>
    <row r="166" spans="1:21" ht="18.75" outlineLevel="1">
      <c r="A166" s="8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outlineLevel="1">
      <c r="A167" s="5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outlineLevel="1">
      <c r="A168" s="5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outlineLevel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outlineLevel="1">
      <c r="A170" s="2"/>
      <c r="B170" s="9"/>
      <c r="C170" s="9"/>
      <c r="D170" s="9"/>
      <c r="E170" s="9"/>
      <c r="F170" s="9"/>
      <c r="G170" s="9"/>
      <c r="H170" s="9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outlineLevel="1">
      <c r="A171" s="5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outlineLevel="1">
      <c r="A172" s="86"/>
      <c r="B172" s="87"/>
      <c r="C172" s="87"/>
      <c r="D172" s="87"/>
      <c r="E172" s="87"/>
      <c r="F172" s="87"/>
      <c r="G172" s="87"/>
      <c r="H172" s="87"/>
      <c r="I172" s="7"/>
      <c r="J172" s="8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outlineLevel="1">
      <c r="A173" s="86"/>
      <c r="B173" s="87"/>
      <c r="C173" s="87"/>
      <c r="D173" s="87"/>
      <c r="E173" s="87"/>
      <c r="F173" s="87"/>
      <c r="G173" s="87"/>
      <c r="H173" s="87"/>
      <c r="I173" s="7"/>
      <c r="J173" s="8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outlineLevel="1">
      <c r="A174" s="86"/>
      <c r="B174" s="87"/>
      <c r="C174" s="87"/>
      <c r="D174" s="87"/>
      <c r="E174" s="87"/>
      <c r="F174" s="87"/>
      <c r="G174" s="87"/>
      <c r="H174" s="87"/>
      <c r="I174" s="7"/>
      <c r="J174" s="8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outlineLevel="1">
      <c r="A175" s="86"/>
      <c r="B175" s="87"/>
      <c r="C175" s="87"/>
      <c r="D175" s="87"/>
      <c r="E175" s="87"/>
      <c r="F175" s="87"/>
      <c r="G175" s="87"/>
      <c r="H175" s="87"/>
      <c r="I175" s="7"/>
      <c r="J175" s="8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outlineLevel="1">
      <c r="A176" s="86"/>
      <c r="B176" s="87"/>
      <c r="C176" s="87"/>
      <c r="D176" s="87"/>
      <c r="E176" s="87"/>
      <c r="F176" s="87"/>
      <c r="G176" s="87"/>
      <c r="H176" s="87"/>
      <c r="I176" s="7"/>
      <c r="J176" s="8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outlineLevel="1">
      <c r="A177" s="7"/>
      <c r="B177" s="87"/>
      <c r="C177" s="87"/>
      <c r="D177" s="87"/>
      <c r="E177" s="87"/>
      <c r="F177" s="87"/>
      <c r="G177" s="87"/>
      <c r="H177" s="87"/>
      <c r="I177" s="7"/>
      <c r="J177" s="8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outlineLevel="1">
      <c r="A178" s="57"/>
      <c r="B178" s="87"/>
      <c r="C178" s="87"/>
      <c r="D178" s="87"/>
      <c r="E178" s="87"/>
      <c r="F178" s="87"/>
      <c r="G178" s="87"/>
      <c r="H178" s="87"/>
      <c r="I178" s="7"/>
      <c r="J178" s="8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outlineLevel="1">
      <c r="A179" s="86"/>
      <c r="B179" s="87"/>
      <c r="C179" s="87"/>
      <c r="D179" s="87"/>
      <c r="E179" s="87"/>
      <c r="F179" s="87"/>
      <c r="G179" s="87"/>
      <c r="H179" s="87"/>
      <c r="I179" s="7"/>
      <c r="J179" s="8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outlineLevel="1">
      <c r="A180" s="86"/>
      <c r="B180" s="87"/>
      <c r="C180" s="87"/>
      <c r="D180" s="87"/>
      <c r="E180" s="87"/>
      <c r="F180" s="87"/>
      <c r="G180" s="87"/>
      <c r="H180" s="87"/>
      <c r="I180" s="7"/>
      <c r="J180" s="8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outlineLevel="1">
      <c r="A181" s="86"/>
      <c r="B181" s="87"/>
      <c r="C181" s="87"/>
      <c r="D181" s="87"/>
      <c r="E181" s="87"/>
      <c r="F181" s="87"/>
      <c r="G181" s="87"/>
      <c r="H181" s="87"/>
      <c r="I181" s="7"/>
      <c r="J181" s="8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outlineLevel="1">
      <c r="A182" s="86"/>
      <c r="B182" s="87"/>
      <c r="C182" s="87"/>
      <c r="D182" s="87"/>
      <c r="E182" s="87"/>
      <c r="F182" s="87"/>
      <c r="G182" s="87"/>
      <c r="H182" s="87"/>
      <c r="I182" s="7"/>
      <c r="J182" s="8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outlineLevel="1">
      <c r="A183" s="86"/>
      <c r="B183" s="87"/>
      <c r="C183" s="87"/>
      <c r="D183" s="87"/>
      <c r="E183" s="87"/>
      <c r="F183" s="87"/>
      <c r="G183" s="87"/>
      <c r="H183" s="87"/>
      <c r="I183" s="7"/>
      <c r="J183" s="8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outlineLevel="1">
      <c r="A184" s="86"/>
      <c r="B184" s="87"/>
      <c r="C184" s="87"/>
      <c r="D184" s="87"/>
      <c r="E184" s="87"/>
      <c r="F184" s="87"/>
      <c r="G184" s="87"/>
      <c r="H184" s="87"/>
      <c r="I184" s="7"/>
      <c r="J184" s="8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outlineLevel="1">
      <c r="A185" s="86"/>
      <c r="B185" s="87"/>
      <c r="C185" s="87"/>
      <c r="D185" s="87"/>
      <c r="E185" s="87"/>
      <c r="F185" s="87"/>
      <c r="G185" s="87"/>
      <c r="H185" s="87"/>
      <c r="I185" s="7"/>
      <c r="J185" s="8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outlineLevel="1">
      <c r="A186" s="86"/>
      <c r="B186" s="87"/>
      <c r="C186" s="87"/>
      <c r="D186" s="87"/>
      <c r="E186" s="87"/>
      <c r="F186" s="87"/>
      <c r="G186" s="87"/>
      <c r="H186" s="87"/>
      <c r="I186" s="7"/>
      <c r="J186" s="8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outlineLevel="1">
      <c r="A187" s="86"/>
      <c r="B187" s="87"/>
      <c r="C187" s="87"/>
      <c r="D187" s="87"/>
      <c r="E187" s="87"/>
      <c r="F187" s="87"/>
      <c r="G187" s="87"/>
      <c r="H187" s="87"/>
      <c r="I187" s="7"/>
      <c r="J187" s="8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outlineLevel="1">
      <c r="A188" s="86"/>
      <c r="B188" s="87"/>
      <c r="C188" s="87"/>
      <c r="D188" s="87"/>
      <c r="E188" s="87"/>
      <c r="F188" s="87"/>
      <c r="G188" s="87"/>
      <c r="H188" s="87"/>
      <c r="I188" s="7"/>
      <c r="J188" s="8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outlineLevel="1">
      <c r="A189" s="86"/>
      <c r="B189" s="87"/>
      <c r="C189" s="87"/>
      <c r="D189" s="87"/>
      <c r="E189" s="87"/>
      <c r="F189" s="87"/>
      <c r="G189" s="87"/>
      <c r="H189" s="87"/>
      <c r="I189" s="7"/>
      <c r="J189" s="8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57"/>
      <c r="B190" s="87"/>
      <c r="C190" s="87"/>
      <c r="D190" s="87"/>
      <c r="E190" s="87"/>
      <c r="F190" s="87"/>
      <c r="G190" s="87"/>
      <c r="H190" s="87"/>
      <c r="I190" s="7"/>
      <c r="J190" s="8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86"/>
      <c r="B191" s="87"/>
      <c r="C191" s="87"/>
      <c r="D191" s="87"/>
      <c r="E191" s="87"/>
      <c r="F191" s="87"/>
      <c r="G191" s="87"/>
      <c r="H191" s="87"/>
      <c r="I191" s="7"/>
      <c r="J191" s="8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86"/>
      <c r="B192" s="87"/>
      <c r="C192" s="87"/>
      <c r="D192" s="87"/>
      <c r="E192" s="87"/>
      <c r="F192" s="87"/>
      <c r="G192" s="87"/>
      <c r="H192" s="87"/>
      <c r="I192" s="7"/>
      <c r="J192" s="8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57"/>
      <c r="B193" s="87"/>
      <c r="C193" s="87"/>
      <c r="D193" s="87"/>
      <c r="E193" s="87"/>
      <c r="F193" s="87"/>
      <c r="G193" s="87"/>
      <c r="H193" s="87"/>
      <c r="I193" s="7"/>
      <c r="J193" s="8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87"/>
      <c r="C194" s="87"/>
      <c r="D194" s="87"/>
      <c r="E194" s="87"/>
      <c r="F194" s="87"/>
      <c r="G194" s="87"/>
      <c r="H194" s="87"/>
      <c r="I194" s="7"/>
      <c r="J194" s="8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7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7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57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57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7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86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86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57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57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7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5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57"/>
      <c r="B214" s="7"/>
      <c r="C214" s="59"/>
      <c r="D214" s="59"/>
      <c r="E214" s="59"/>
      <c r="F214" s="59"/>
      <c r="G214" s="59"/>
      <c r="H214" s="59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57"/>
      <c r="B215" s="7"/>
      <c r="C215" s="59"/>
      <c r="D215" s="59"/>
      <c r="E215" s="59"/>
      <c r="F215" s="59"/>
      <c r="G215" s="59"/>
      <c r="H215" s="59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57"/>
      <c r="B216" s="7"/>
      <c r="C216" s="59"/>
      <c r="D216" s="59"/>
      <c r="E216" s="59"/>
      <c r="F216" s="59"/>
      <c r="G216" s="59"/>
      <c r="H216" s="59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57"/>
      <c r="B217" s="7"/>
      <c r="C217" s="59"/>
      <c r="D217" s="59"/>
      <c r="E217" s="59"/>
      <c r="F217" s="59"/>
      <c r="G217" s="59"/>
      <c r="H217" s="59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8.75" outlineLevel="1">
      <c r="A219" s="8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5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s="90" customFormat="1" outlineLevel="1">
      <c r="A223" s="89"/>
    </row>
    <row r="224" spans="1:21" outlineLevel="1">
      <c r="A224" s="5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57"/>
      <c r="B225" s="7"/>
      <c r="C225" s="91"/>
      <c r="D225" s="91"/>
      <c r="E225" s="91"/>
      <c r="F225" s="91"/>
      <c r="G225" s="91"/>
      <c r="H225" s="91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57"/>
      <c r="B226" s="7"/>
      <c r="C226" s="91"/>
      <c r="D226" s="91"/>
      <c r="E226" s="91"/>
      <c r="F226" s="91"/>
      <c r="G226" s="91"/>
      <c r="H226" s="91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7"/>
      <c r="B227" s="7"/>
      <c r="C227" s="93"/>
      <c r="D227" s="93"/>
      <c r="E227" s="93"/>
      <c r="F227" s="93"/>
      <c r="G227" s="93"/>
      <c r="H227" s="93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8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94"/>
      <c r="B230" s="7"/>
      <c r="C230" s="59"/>
      <c r="D230" s="59"/>
      <c r="E230" s="59"/>
      <c r="F230" s="59"/>
      <c r="G230" s="59"/>
      <c r="H230" s="59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94"/>
      <c r="B231" s="7"/>
      <c r="C231" s="59"/>
      <c r="D231" s="59"/>
      <c r="E231" s="59"/>
      <c r="F231" s="59"/>
      <c r="G231" s="59"/>
      <c r="H231" s="59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94"/>
      <c r="B232" s="7"/>
      <c r="C232" s="59"/>
      <c r="D232" s="59"/>
      <c r="E232" s="59"/>
      <c r="F232" s="59"/>
      <c r="G232" s="59"/>
      <c r="H232" s="59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94"/>
      <c r="B233" s="7"/>
      <c r="C233" s="59"/>
      <c r="D233" s="59"/>
      <c r="E233" s="59"/>
      <c r="F233" s="59"/>
      <c r="G233" s="59"/>
      <c r="H233" s="59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94"/>
      <c r="B234" s="7"/>
      <c r="C234" s="91"/>
      <c r="D234" s="91"/>
      <c r="E234" s="91"/>
      <c r="F234" s="91"/>
      <c r="G234" s="91"/>
      <c r="H234" s="91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7"/>
      <c r="C235" s="95"/>
      <c r="D235" s="95"/>
      <c r="E235" s="95"/>
      <c r="F235" s="95"/>
      <c r="G235" s="95"/>
      <c r="H235" s="95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94"/>
      <c r="B236" s="7"/>
      <c r="C236" s="96"/>
      <c r="D236" s="96"/>
      <c r="E236" s="96"/>
      <c r="F236" s="96"/>
      <c r="G236" s="96"/>
      <c r="H236" s="96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94"/>
      <c r="B237" s="7"/>
      <c r="C237" s="96"/>
      <c r="D237" s="96"/>
      <c r="E237" s="96"/>
      <c r="F237" s="96"/>
      <c r="G237" s="96"/>
      <c r="H237" s="96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94"/>
      <c r="B238" s="7"/>
      <c r="C238" s="96"/>
      <c r="D238" s="96"/>
      <c r="E238" s="96"/>
      <c r="F238" s="96"/>
      <c r="G238" s="96"/>
      <c r="H238" s="96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94"/>
      <c r="B239" s="7"/>
      <c r="C239" s="96"/>
      <c r="D239" s="96"/>
      <c r="E239" s="96"/>
      <c r="F239" s="96"/>
      <c r="G239" s="96"/>
      <c r="H239" s="96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94"/>
      <c r="B240" s="7"/>
      <c r="C240" s="95"/>
      <c r="D240" s="95"/>
      <c r="E240" s="95"/>
      <c r="F240" s="95"/>
      <c r="G240" s="95"/>
      <c r="H240" s="95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5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7"/>
      <c r="B242" s="7"/>
      <c r="C242" s="59"/>
      <c r="D242" s="59"/>
      <c r="E242" s="59"/>
      <c r="F242" s="59"/>
      <c r="G242" s="59"/>
      <c r="H242" s="5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7"/>
      <c r="B243" s="7"/>
      <c r="C243" s="59"/>
      <c r="D243" s="59"/>
      <c r="E243" s="59"/>
      <c r="F243" s="59"/>
      <c r="G243" s="59"/>
      <c r="H243" s="5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7"/>
      <c r="C244" s="59"/>
      <c r="D244" s="59"/>
      <c r="E244" s="59"/>
      <c r="F244" s="59"/>
      <c r="G244" s="59"/>
      <c r="H244" s="5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97"/>
      <c r="C245" s="59"/>
      <c r="D245" s="59"/>
      <c r="E245" s="59"/>
      <c r="F245" s="59"/>
      <c r="G245" s="59"/>
      <c r="H245" s="5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5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94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94"/>
      <c r="B250" s="7"/>
      <c r="C250" s="91"/>
      <c r="D250" s="91"/>
      <c r="E250" s="91"/>
      <c r="F250" s="91"/>
      <c r="G250" s="91"/>
      <c r="H250" s="9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94"/>
      <c r="B251" s="97"/>
      <c r="C251" s="91"/>
      <c r="D251" s="91"/>
      <c r="E251" s="91"/>
      <c r="F251" s="91"/>
      <c r="G251" s="91"/>
      <c r="H251" s="91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91"/>
      <c r="D252" s="91"/>
      <c r="E252" s="91"/>
      <c r="F252" s="91"/>
      <c r="G252" s="91"/>
      <c r="H252" s="91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7"/>
      <c r="B253" s="7"/>
      <c r="C253" s="91"/>
      <c r="D253" s="91"/>
      <c r="E253" s="91"/>
      <c r="F253" s="91"/>
      <c r="G253" s="91"/>
      <c r="H253" s="91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7"/>
      <c r="B254" s="7"/>
      <c r="C254" s="91"/>
      <c r="D254" s="91"/>
      <c r="E254" s="91"/>
      <c r="F254" s="91"/>
      <c r="G254" s="91"/>
      <c r="H254" s="91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91"/>
      <c r="D255" s="91"/>
      <c r="E255" s="91"/>
      <c r="F255" s="91"/>
      <c r="G255" s="91"/>
      <c r="H255" s="91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91"/>
      <c r="D256" s="91"/>
      <c r="E256" s="91"/>
      <c r="F256" s="91"/>
      <c r="G256" s="91"/>
      <c r="H256" s="91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7"/>
      <c r="B257" s="7"/>
      <c r="C257" s="91"/>
      <c r="D257" s="91"/>
      <c r="E257" s="91"/>
      <c r="F257" s="91"/>
      <c r="G257" s="91"/>
      <c r="H257" s="91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98"/>
      <c r="C259" s="98"/>
      <c r="D259" s="98"/>
      <c r="E259" s="98"/>
      <c r="F259" s="98"/>
      <c r="G259" s="98"/>
      <c r="H259" s="98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97"/>
      <c r="C260" s="98"/>
      <c r="D260" s="98"/>
      <c r="E260" s="98"/>
      <c r="F260" s="98"/>
      <c r="G260" s="98"/>
      <c r="H260" s="98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57"/>
      <c r="B261" s="98"/>
      <c r="C261" s="98"/>
      <c r="D261" s="98"/>
      <c r="E261" s="98"/>
      <c r="F261" s="98"/>
      <c r="G261" s="98"/>
      <c r="H261" s="9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98"/>
      <c r="D262" s="98"/>
      <c r="E262" s="98"/>
      <c r="F262" s="98"/>
      <c r="G262" s="98"/>
      <c r="H262" s="98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5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5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7"/>
      <c r="B267" s="7"/>
      <c r="C267" s="87"/>
      <c r="D267" s="87"/>
      <c r="E267" s="87"/>
      <c r="F267" s="87"/>
      <c r="G267" s="87"/>
      <c r="H267" s="8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7"/>
      <c r="C268" s="98"/>
      <c r="D268" s="98"/>
      <c r="E268" s="98"/>
      <c r="F268" s="98"/>
      <c r="G268" s="98"/>
      <c r="H268" s="98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7"/>
      <c r="B269" s="7"/>
      <c r="C269" s="99"/>
      <c r="D269" s="99"/>
      <c r="E269" s="99"/>
      <c r="F269" s="99"/>
      <c r="G269" s="99"/>
      <c r="H269" s="9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7"/>
      <c r="B270" s="7"/>
      <c r="C270" s="87"/>
      <c r="D270" s="87"/>
      <c r="E270" s="87"/>
      <c r="F270" s="87"/>
      <c r="G270" s="87"/>
      <c r="H270" s="8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7"/>
      <c r="B271" s="7"/>
      <c r="C271" s="99"/>
      <c r="D271" s="99"/>
      <c r="E271" s="99"/>
      <c r="F271" s="99"/>
      <c r="G271" s="99"/>
      <c r="H271" s="9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7"/>
      <c r="B272" s="7"/>
      <c r="C272" s="100"/>
      <c r="D272" s="100"/>
      <c r="E272" s="100"/>
      <c r="F272" s="100"/>
      <c r="G272" s="100"/>
      <c r="H272" s="100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6" outlineLevel="1">
      <c r="A273" s="7"/>
      <c r="B273" s="7"/>
      <c r="C273" s="100"/>
      <c r="D273" s="100"/>
      <c r="E273" s="100"/>
      <c r="F273" s="100"/>
      <c r="G273" s="100"/>
      <c r="H273" s="100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6" ht="18.75" hidden="1" outlineLevel="2">
      <c r="A274" s="84"/>
      <c r="B274" s="7"/>
      <c r="C274" s="100"/>
      <c r="D274" s="100"/>
      <c r="E274" s="100"/>
      <c r="F274" s="100"/>
      <c r="G274" s="100"/>
      <c r="H274" s="100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6" hidden="1" outlineLevel="2">
      <c r="A275" s="57"/>
      <c r="B275" s="7"/>
      <c r="C275" s="100"/>
      <c r="D275" s="100"/>
      <c r="E275" s="100"/>
      <c r="F275" s="100"/>
      <c r="G275" s="100"/>
      <c r="H275" s="100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6" hidden="1" outlineLevel="2">
      <c r="A276" s="7"/>
      <c r="B276" s="7"/>
      <c r="C276" s="100"/>
      <c r="D276" s="100"/>
      <c r="E276" s="100"/>
      <c r="F276" s="100"/>
      <c r="G276" s="100"/>
      <c r="H276" s="100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6" hidden="1" outlineLevel="2">
      <c r="A277" s="57"/>
      <c r="B277" s="11"/>
      <c r="C277" s="11"/>
      <c r="D277" s="10"/>
      <c r="E277" s="10"/>
      <c r="F277" s="11"/>
      <c r="G277" s="11"/>
      <c r="H277" s="10"/>
      <c r="I277" s="11"/>
      <c r="J277" s="11"/>
      <c r="K277" s="11"/>
      <c r="L277" s="10"/>
      <c r="M277" s="11"/>
      <c r="N277" s="11"/>
      <c r="O277" s="7"/>
      <c r="P277" s="7"/>
      <c r="Q277" s="7"/>
      <c r="R277" s="7"/>
      <c r="S277" s="7"/>
      <c r="T277" s="11"/>
      <c r="U277" s="7"/>
    </row>
    <row r="278" spans="1:26" hidden="1" outlineLevel="2">
      <c r="A278" s="5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6" hidden="1" outlineLevel="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6" hidden="1" outlineLevel="2">
      <c r="A280" s="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7"/>
      <c r="P280" s="7"/>
      <c r="Q280" s="7"/>
      <c r="R280" s="7"/>
      <c r="S280" s="7"/>
      <c r="T280" s="87"/>
      <c r="U280" s="7"/>
    </row>
    <row r="281" spans="1:26" hidden="1" outlineLevel="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6" hidden="1" outlineLevel="2">
      <c r="A282" s="7"/>
      <c r="B282" s="98"/>
      <c r="C282" s="98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7"/>
      <c r="P282" s="7"/>
      <c r="Q282" s="7"/>
      <c r="R282" s="7"/>
      <c r="S282" s="7"/>
      <c r="T282" s="87"/>
      <c r="U282" s="7"/>
    </row>
    <row r="283" spans="1:26" hidden="1" outlineLevel="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6" hidden="1" outlineLevel="2">
      <c r="A284" s="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7"/>
      <c r="P284" s="7"/>
      <c r="Q284" s="7"/>
      <c r="R284" s="7"/>
      <c r="S284" s="7"/>
      <c r="T284" s="87"/>
      <c r="U284" s="87"/>
      <c r="V284" s="87"/>
      <c r="W284" s="87"/>
      <c r="X284" s="87"/>
      <c r="Y284" s="87"/>
      <c r="Z284" s="87"/>
    </row>
    <row r="285" spans="1:26" hidden="1" outlineLevel="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6" hidden="1" outlineLevel="2">
      <c r="A286" s="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7"/>
      <c r="P286" s="7"/>
      <c r="Q286" s="7"/>
      <c r="R286" s="7"/>
      <c r="S286" s="7"/>
      <c r="T286" s="87"/>
      <c r="U286" s="7"/>
    </row>
    <row r="287" spans="1:26" hidden="1" outlineLevel="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6" hidden="1" outlineLevel="2">
      <c r="A288" s="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7"/>
      <c r="P288" s="7"/>
      <c r="Q288" s="7"/>
      <c r="R288" s="7"/>
      <c r="S288" s="7"/>
      <c r="T288" s="87"/>
      <c r="U288" s="87"/>
    </row>
    <row r="289" spans="1:21" hidden="1" outlineLevel="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idden="1" outlineLevel="2">
      <c r="A290" s="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7"/>
      <c r="P290" s="7"/>
      <c r="Q290" s="7"/>
      <c r="R290" s="7"/>
      <c r="S290" s="7"/>
      <c r="T290" s="87"/>
      <c r="U290" s="87"/>
    </row>
    <row r="291" spans="1:21" hidden="1" outlineLevel="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 collapsed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8.75" outlineLevel="1">
      <c r="A295" s="8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5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2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</row>
    <row r="300" spans="1:21" outlineLevel="1">
      <c r="A300" s="5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86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</row>
    <row r="302" spans="1:21" outlineLevel="1">
      <c r="A302" s="86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</row>
    <row r="303" spans="1:21" outlineLevel="1">
      <c r="A303" s="86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</row>
    <row r="304" spans="1:21" outlineLevel="1">
      <c r="A304" s="86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</row>
    <row r="305" spans="1:21" outlineLevel="1">
      <c r="A305" s="86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</row>
    <row r="306" spans="1:21" outlineLevel="1">
      <c r="A306" s="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</row>
    <row r="307" spans="1:21" outlineLevel="1">
      <c r="A307" s="5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</row>
    <row r="308" spans="1:21" outlineLevel="1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</row>
    <row r="309" spans="1:21" outlineLevel="1">
      <c r="A309" s="86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</row>
    <row r="310" spans="1:21" outlineLevel="1">
      <c r="A310" s="86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</row>
    <row r="311" spans="1:21" outlineLevel="1">
      <c r="A311" s="86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</row>
    <row r="312" spans="1:21" outlineLevel="1">
      <c r="A312" s="86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</row>
    <row r="313" spans="1:21" outlineLevel="1">
      <c r="A313" s="86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</row>
    <row r="314" spans="1:21" outlineLevel="1">
      <c r="A314" s="86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</row>
    <row r="315" spans="1:21" outlineLevel="1">
      <c r="A315" s="86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</row>
    <row r="316" spans="1:21" outlineLevel="1">
      <c r="A316" s="86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</row>
    <row r="317" spans="1:21" outlineLevel="1">
      <c r="A317" s="86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</row>
    <row r="318" spans="1:21" outlineLevel="1">
      <c r="A318" s="86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</row>
    <row r="319" spans="1:21" outlineLevel="1">
      <c r="A319" s="5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</row>
    <row r="320" spans="1:21" outlineLevel="1">
      <c r="A320" s="86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</row>
    <row r="321" spans="1:21" outlineLevel="1">
      <c r="A321" s="5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</row>
    <row r="322" spans="1:21" outlineLevel="1">
      <c r="A322" s="86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</row>
    <row r="323" spans="1:21" outlineLevel="1">
      <c r="A323" s="5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</row>
    <row r="324" spans="1:21" outlineLevel="1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5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5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5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86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86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2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5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5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5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5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outlineLevel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8.75" outlineLevel="1">
      <c r="A345" s="8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outlineLevel="1">
      <c r="A346" s="5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outlineLevel="1">
      <c r="A347" s="5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outlineLevel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outlineLevel="1">
      <c r="A349" s="2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7"/>
      <c r="P349" s="7"/>
      <c r="Q349" s="7"/>
      <c r="R349" s="7"/>
      <c r="S349" s="7"/>
      <c r="T349" s="7"/>
      <c r="U349" s="7"/>
    </row>
    <row r="350" spans="1:21" outlineLevel="1">
      <c r="A350" s="5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outlineLevel="1">
      <c r="A351" s="86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7"/>
      <c r="P351" s="7"/>
      <c r="Q351" s="7"/>
      <c r="R351" s="7"/>
      <c r="S351" s="7"/>
      <c r="T351" s="7"/>
      <c r="U351" s="7"/>
    </row>
    <row r="352" spans="1:21" outlineLevel="1">
      <c r="A352" s="86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7"/>
      <c r="P352" s="7"/>
      <c r="Q352" s="7"/>
      <c r="R352" s="7"/>
      <c r="S352" s="7"/>
      <c r="T352" s="7"/>
      <c r="U352" s="7"/>
    </row>
    <row r="353" spans="1:21" outlineLevel="1">
      <c r="A353" s="86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7"/>
      <c r="P353" s="7"/>
      <c r="Q353" s="7"/>
      <c r="R353" s="7"/>
      <c r="S353" s="7"/>
      <c r="T353" s="7"/>
      <c r="U353" s="7"/>
    </row>
    <row r="354" spans="1:21" outlineLevel="1">
      <c r="A354" s="86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7"/>
      <c r="P354" s="7"/>
      <c r="Q354" s="7"/>
      <c r="R354" s="7"/>
      <c r="S354" s="7"/>
      <c r="T354" s="7"/>
      <c r="U354" s="7"/>
    </row>
    <row r="355" spans="1:21" outlineLevel="1">
      <c r="A355" s="86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7"/>
      <c r="P355" s="7"/>
      <c r="Q355" s="7"/>
      <c r="R355" s="7"/>
      <c r="S355" s="7"/>
      <c r="T355" s="7"/>
      <c r="U355" s="7"/>
    </row>
    <row r="356" spans="1:21" outlineLevel="1">
      <c r="A356" s="86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7"/>
      <c r="P356" s="7"/>
      <c r="Q356" s="7"/>
      <c r="R356" s="7"/>
      <c r="S356" s="7"/>
      <c r="T356" s="7"/>
      <c r="U356" s="7"/>
    </row>
    <row r="357" spans="1:21" outlineLevel="1">
      <c r="A357" s="57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7"/>
      <c r="P357" s="7"/>
      <c r="Q357" s="7"/>
      <c r="R357" s="7"/>
      <c r="S357" s="7"/>
      <c r="T357" s="7"/>
      <c r="U357" s="7"/>
    </row>
    <row r="358" spans="1:21" outlineLevel="1">
      <c r="A358" s="86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7"/>
      <c r="P358" s="7"/>
      <c r="Q358" s="7"/>
      <c r="R358" s="7"/>
      <c r="S358" s="7"/>
      <c r="T358" s="7"/>
      <c r="U358" s="7"/>
    </row>
    <row r="359" spans="1:21" outlineLevel="1">
      <c r="A359" s="86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7"/>
      <c r="P359" s="7"/>
      <c r="Q359" s="7"/>
      <c r="R359" s="7"/>
      <c r="S359" s="7"/>
      <c r="T359" s="7"/>
      <c r="U359" s="7"/>
    </row>
    <row r="360" spans="1:21" outlineLevel="1">
      <c r="A360" s="86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7"/>
      <c r="P360" s="7"/>
      <c r="Q360" s="7"/>
      <c r="R360" s="7"/>
      <c r="S360" s="7"/>
      <c r="T360" s="7"/>
      <c r="U360" s="7"/>
    </row>
    <row r="361" spans="1:21" outlineLevel="1">
      <c r="A361" s="86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7"/>
      <c r="P361" s="7"/>
      <c r="Q361" s="7"/>
      <c r="R361" s="7"/>
      <c r="S361" s="7"/>
      <c r="T361" s="7"/>
      <c r="U361" s="7"/>
    </row>
    <row r="362" spans="1:21" outlineLevel="1">
      <c r="A362" s="86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7"/>
      <c r="P362" s="7"/>
      <c r="Q362" s="7"/>
      <c r="R362" s="7"/>
      <c r="S362" s="7"/>
      <c r="T362" s="7"/>
      <c r="U362" s="7"/>
    </row>
    <row r="363" spans="1:21" outlineLevel="1">
      <c r="A363" s="86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7"/>
      <c r="P363" s="7"/>
      <c r="Q363" s="7"/>
      <c r="R363" s="7"/>
      <c r="S363" s="7"/>
      <c r="T363" s="7"/>
      <c r="U363" s="7"/>
    </row>
    <row r="364" spans="1:21" outlineLevel="1">
      <c r="A364" s="86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7"/>
      <c r="P364" s="7"/>
      <c r="Q364" s="7"/>
      <c r="R364" s="7"/>
      <c r="S364" s="7"/>
      <c r="T364" s="7"/>
      <c r="U364" s="7"/>
    </row>
    <row r="365" spans="1:21" outlineLevel="1">
      <c r="A365" s="86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7"/>
      <c r="P365" s="7"/>
      <c r="Q365" s="7"/>
      <c r="R365" s="7"/>
      <c r="S365" s="7"/>
      <c r="T365" s="7"/>
      <c r="U365" s="7"/>
    </row>
    <row r="366" spans="1:21" outlineLevel="1">
      <c r="A366" s="86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7"/>
      <c r="P366" s="7"/>
      <c r="Q366" s="7"/>
      <c r="R366" s="7"/>
      <c r="S366" s="7"/>
      <c r="T366" s="7"/>
      <c r="U366" s="7"/>
    </row>
    <row r="367" spans="1:21" outlineLevel="1">
      <c r="A367" s="86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7"/>
      <c r="P367" s="7"/>
      <c r="Q367" s="7"/>
      <c r="R367" s="7"/>
      <c r="S367" s="7"/>
      <c r="T367" s="7"/>
      <c r="U367" s="7"/>
    </row>
    <row r="368" spans="1:21" outlineLevel="1">
      <c r="A368" s="86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7"/>
      <c r="P368" s="7"/>
      <c r="Q368" s="7"/>
      <c r="R368" s="7"/>
      <c r="S368" s="7"/>
      <c r="T368" s="7"/>
      <c r="U368" s="7"/>
    </row>
    <row r="369" spans="1:21" outlineLevel="1">
      <c r="A369" s="86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7"/>
      <c r="P370" s="7"/>
      <c r="Q370" s="7"/>
      <c r="R370" s="7"/>
      <c r="S370" s="7"/>
      <c r="T370" s="7"/>
      <c r="U370" s="7"/>
    </row>
    <row r="371" spans="1:21" outlineLevel="1">
      <c r="A371" s="7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7"/>
      <c r="P371" s="7"/>
      <c r="Q371" s="7"/>
      <c r="R371" s="7"/>
      <c r="S371" s="7"/>
      <c r="T371" s="7"/>
      <c r="U371" s="7"/>
    </row>
    <row r="372" spans="1:21" outlineLevel="1">
      <c r="A372" s="86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7"/>
      <c r="P373" s="7"/>
      <c r="Q373" s="7"/>
      <c r="R373" s="7"/>
      <c r="S373" s="7"/>
      <c r="T373" s="7"/>
      <c r="U373" s="7"/>
    </row>
    <row r="374" spans="1:21" outlineLevel="1">
      <c r="A374" s="86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57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57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7"/>
      <c r="P376" s="7"/>
      <c r="Q376" s="7"/>
      <c r="R376" s="7"/>
      <c r="S376" s="7"/>
      <c r="T376" s="7"/>
      <c r="U376" s="7"/>
    </row>
    <row r="377" spans="1:21" outlineLevel="1">
      <c r="A377" s="57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7"/>
      <c r="P377" s="7"/>
      <c r="Q377" s="7"/>
      <c r="R377" s="7"/>
      <c r="S377" s="7"/>
      <c r="T377" s="7"/>
      <c r="U377" s="7"/>
    </row>
    <row r="378" spans="1:21" outlineLevel="1">
      <c r="A378" s="57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 outlineLevel="1">
      <c r="A379" s="57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 outlineLevel="1">
      <c r="A381" s="57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 outlineLevel="1">
      <c r="A382" s="57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 outlineLevel="1">
      <c r="A383" s="7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</row>
    <row r="384" spans="1:21" outlineLevel="1">
      <c r="A384" s="7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</row>
    <row r="385" spans="1:21" outlineLevel="1">
      <c r="A385" s="7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</row>
    <row r="386" spans="1:21" outlineLevel="1">
      <c r="A386" s="7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</row>
    <row r="387" spans="1:21" outlineLevel="1">
      <c r="A387" s="7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</row>
    <row r="388" spans="1:21" outlineLevel="1">
      <c r="A388" s="7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</row>
    <row r="389" spans="1:21" outlineLevel="1">
      <c r="A389" s="57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</row>
    <row r="390" spans="1:21" outlineLevel="1">
      <c r="A390" s="7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</row>
    <row r="391" spans="1:21" outlineLevel="1">
      <c r="A391" s="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</row>
    <row r="392" spans="1:21" outlineLevel="1">
      <c r="A392" s="57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</row>
    <row r="393" spans="1:21" outlineLevel="1">
      <c r="A393" s="57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</row>
    <row r="394" spans="1:21" outlineLevel="1">
      <c r="A394" s="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</row>
    <row r="395" spans="1:21" outlineLevel="1">
      <c r="A395" s="7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</row>
    <row r="396" spans="1:21" outlineLevel="1">
      <c r="A396" s="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</row>
    <row r="397" spans="1:21" outlineLevel="1">
      <c r="A397" s="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</row>
    <row r="398" spans="1:21" outlineLevel="1">
      <c r="A398" s="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</row>
    <row r="399" spans="1:21" outlineLevel="1">
      <c r="A399" s="7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</row>
    <row r="400" spans="1:21" outlineLevel="1">
      <c r="A400" s="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</row>
    <row r="401" spans="1:21" outlineLevel="1">
      <c r="A401" s="7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57"/>
      <c r="B406" s="102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7"/>
      <c r="P406" s="7"/>
      <c r="Q406" s="7"/>
      <c r="R406" s="7"/>
      <c r="S406" s="7"/>
      <c r="T406" s="7"/>
      <c r="U406" s="7"/>
    </row>
    <row r="407" spans="1:21" outlineLevel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8.75" outlineLevel="1">
      <c r="A408" s="8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outlineLevel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outlineLevel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outlineLevel="1">
      <c r="A412" s="2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</row>
    <row r="413" spans="1:21" outlineLevel="1">
      <c r="A413" s="7"/>
      <c r="B413" s="7"/>
      <c r="C413" s="7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7"/>
      <c r="C414" s="73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7"/>
      <c r="P414" s="7"/>
      <c r="Q414" s="7"/>
      <c r="R414" s="7"/>
      <c r="S414" s="7"/>
      <c r="T414" s="7"/>
      <c r="U414" s="7"/>
    </row>
    <row r="415" spans="1:21" outlineLevel="1">
      <c r="A415" s="7"/>
      <c r="B415" s="7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"/>
      <c r="P415" s="7"/>
      <c r="Q415" s="7"/>
      <c r="R415" s="7"/>
      <c r="S415" s="7"/>
      <c r="T415" s="7"/>
      <c r="U415" s="7"/>
    </row>
    <row r="416" spans="1:21" outlineLevel="1">
      <c r="A416" s="7"/>
      <c r="B416" s="7"/>
      <c r="C416" s="73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7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"/>
      <c r="P417" s="7"/>
      <c r="Q417" s="7"/>
      <c r="R417" s="7"/>
      <c r="S417" s="7"/>
      <c r="T417" s="7"/>
      <c r="U417" s="7"/>
    </row>
    <row r="418" spans="1:21" outlineLevel="1">
      <c r="A418" s="7"/>
      <c r="B418" s="7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"/>
      <c r="P418" s="7"/>
      <c r="Q418" s="7"/>
      <c r="R418" s="7"/>
      <c r="S418" s="7"/>
      <c r="T418" s="7"/>
      <c r="U418" s="7"/>
    </row>
    <row r="419" spans="1:21" outlineLevel="1">
      <c r="A419" s="94"/>
      <c r="B419" s="7"/>
      <c r="C419" s="73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7"/>
      <c r="P419" s="7"/>
      <c r="Q419" s="7"/>
      <c r="R419" s="7"/>
      <c r="S419" s="7"/>
      <c r="T419" s="7"/>
      <c r="U419" s="7"/>
    </row>
    <row r="420" spans="1:21" outlineLevel="1">
      <c r="A420" s="94"/>
      <c r="B420" s="7"/>
      <c r="C420" s="73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7"/>
      <c r="P420" s="7"/>
      <c r="Q420" s="7"/>
      <c r="R420" s="7"/>
      <c r="S420" s="7"/>
      <c r="T420" s="7"/>
      <c r="U420" s="7"/>
    </row>
    <row r="421" spans="1:21" outlineLevel="1">
      <c r="A421" s="57"/>
      <c r="B421" s="7"/>
      <c r="C421" s="7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outlineLevel="1">
      <c r="A422" s="7"/>
      <c r="B422" s="102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7"/>
      <c r="P422" s="7"/>
      <c r="Q422" s="7"/>
      <c r="R422" s="7"/>
      <c r="S422" s="7"/>
      <c r="T422" s="7"/>
      <c r="U422" s="7"/>
    </row>
    <row r="423" spans="1:21" outlineLevel="1">
      <c r="A423" s="7"/>
      <c r="B423" s="7"/>
      <c r="C423" s="7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outlineLevel="1">
      <c r="A424" s="57"/>
      <c r="B424" s="7"/>
      <c r="C424" s="73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7"/>
      <c r="P424" s="7"/>
      <c r="Q424" s="7"/>
      <c r="R424" s="7"/>
      <c r="S424" s="7"/>
      <c r="T424" s="7"/>
      <c r="U424" s="7"/>
    </row>
    <row r="425" spans="1:21" outlineLevel="1">
      <c r="A425" s="7"/>
      <c r="B425" s="7"/>
      <c r="C425" s="73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7"/>
      <c r="P425" s="7"/>
      <c r="Q425" s="7"/>
      <c r="R425" s="7"/>
      <c r="S425" s="7"/>
      <c r="T425" s="7"/>
      <c r="U425" s="7"/>
    </row>
    <row r="426" spans="1:21" outlineLevel="1">
      <c r="A426" s="57"/>
      <c r="B426" s="7"/>
      <c r="C426" s="73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7"/>
      <c r="P426" s="7"/>
      <c r="Q426" s="7"/>
      <c r="R426" s="7"/>
      <c r="S426" s="7"/>
      <c r="T426" s="7"/>
      <c r="U426" s="7"/>
    </row>
    <row r="427" spans="1:21" outlineLevel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outlineLevel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s="106" customFormat="1" ht="18.75" outlineLevel="1">
      <c r="A429" s="104"/>
      <c r="B429" s="105"/>
      <c r="C429" s="105"/>
    </row>
    <row r="430" spans="1:21" s="106" customFormat="1" outlineLevel="1">
      <c r="A430" s="105"/>
      <c r="B430" s="107"/>
      <c r="C430" s="108"/>
      <c r="D430" s="105"/>
      <c r="E430" s="109"/>
    </row>
    <row r="431" spans="1:21" s="106" customFormat="1" outlineLevel="1">
      <c r="A431" s="105"/>
      <c r="B431" s="110"/>
      <c r="C431" s="88"/>
      <c r="D431" s="88"/>
      <c r="E431" s="109"/>
    </row>
    <row r="432" spans="1:21" s="106" customFormat="1" outlineLevel="1">
      <c r="A432" s="105"/>
      <c r="B432" s="88"/>
      <c r="C432" s="109"/>
      <c r="D432" s="88"/>
      <c r="E432" s="110"/>
    </row>
    <row r="433" spans="1:21" s="106" customFormat="1" outlineLevel="1">
      <c r="A433" s="111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</row>
    <row r="434" spans="1:21" s="106" customFormat="1" outlineLevel="1">
      <c r="A434" s="80"/>
      <c r="B434" s="105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</row>
    <row r="435" spans="1:21" s="106" customFormat="1" outlineLevel="1">
      <c r="A435" s="79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</row>
    <row r="436" spans="1:21" s="106" customFormat="1" outlineLevel="1">
      <c r="A436" s="79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</row>
    <row r="437" spans="1:21" s="106" customFormat="1" outlineLevel="1">
      <c r="A437" s="79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</row>
    <row r="438" spans="1:21" s="106" customFormat="1" outlineLevel="1">
      <c r="A438" s="78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</row>
    <row r="439" spans="1:21" s="106" customFormat="1" outlineLevel="1">
      <c r="A439" s="69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</row>
    <row r="440" spans="1:21" s="106" customFormat="1" outlineLevel="1">
      <c r="A440" s="80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</row>
    <row r="441" spans="1:21" s="106" customFormat="1" outlineLevel="1">
      <c r="A441" s="113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</row>
    <row r="442" spans="1:21" s="106" customFormat="1" outlineLevel="1">
      <c r="A442" s="113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</row>
    <row r="443" spans="1:21" s="106" customFormat="1" outlineLevel="1">
      <c r="A443" s="113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</row>
    <row r="444" spans="1:21" s="106" customFormat="1" outlineLevel="1">
      <c r="A444" s="113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</row>
    <row r="445" spans="1:21" s="106" customFormat="1" outlineLevel="1">
      <c r="A445" s="113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</row>
    <row r="446" spans="1:21" s="106" customFormat="1" outlineLevel="1">
      <c r="A446" s="83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</row>
    <row r="447" spans="1:21" s="106" customFormat="1" outlineLevel="1">
      <c r="A447" s="113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</row>
    <row r="448" spans="1:21" s="106" customFormat="1" outlineLevel="1">
      <c r="A448" s="113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</row>
    <row r="449" spans="1:21" s="106" customFormat="1" outlineLevel="1">
      <c r="A449" s="113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</row>
    <row r="450" spans="1:21" s="106" customFormat="1" outlineLevel="1">
      <c r="A450" s="113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</row>
    <row r="451" spans="1:21" s="106" customFormat="1" outlineLevel="1">
      <c r="A451" s="113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</row>
    <row r="452" spans="1:21" s="106" customFormat="1" outlineLevel="1">
      <c r="A452" s="80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</row>
    <row r="453" spans="1:21" s="106" customFormat="1" outlineLevel="1">
      <c r="A453" s="80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</row>
    <row r="454" spans="1:21" s="106" customFormat="1" outlineLevel="1">
      <c r="A454" s="80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</row>
    <row r="455" spans="1:21" s="106" customFormat="1" outlineLevel="1">
      <c r="A455" s="80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</row>
    <row r="456" spans="1:21" s="106" customFormat="1" outlineLevel="1">
      <c r="A456" s="79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</row>
    <row r="457" spans="1:21" s="106" customFormat="1" outlineLevel="1">
      <c r="A457" s="79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80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82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ht="13.9" customHeight="1" outlineLevel="1">
      <c r="A461" s="78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16" customFormat="1" outlineLevel="1">
      <c r="A462" s="115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 s="78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 s="79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 s="79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 s="79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 s="79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 outlineLevel="1">
      <c r="A468" s="80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16" customFormat="1" outlineLevel="1">
      <c r="A469" s="117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79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8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8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8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79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16" customFormat="1" outlineLevel="1">
      <c r="A475" s="115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79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8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78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16" customFormat="1" outlineLevel="1">
      <c r="A479" s="117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0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16" customFormat="1" outlineLevel="1">
      <c r="A481" s="117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80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80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80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outlineLevel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outlineLevel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outlineLevel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8.75" outlineLevel="1">
      <c r="A488" s="8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outlineLevel="1">
      <c r="A489" s="5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outlineLevel="1">
      <c r="A490" s="118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7"/>
      <c r="N490" s="7"/>
      <c r="O490" s="7"/>
      <c r="P490" s="7"/>
      <c r="Q490" s="7"/>
      <c r="R490" s="7"/>
      <c r="S490" s="7"/>
      <c r="T490" s="7"/>
      <c r="U490" s="7"/>
    </row>
    <row r="491" spans="1:21" outlineLevel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outlineLevel="1">
      <c r="A492" s="2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idden="1" outlineLevel="2">
      <c r="A493" s="5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idden="1" outlineLevel="2">
      <c r="A494" s="86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idden="1" outlineLevel="2">
      <c r="A495" s="86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idden="1" outlineLevel="2">
      <c r="A496" s="119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idden="1" outlineLevel="2">
      <c r="A497" s="86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idden="1" outlineLevel="2">
      <c r="A498" s="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idden="1" outlineLevel="2">
      <c r="A499" s="5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idden="1" outlineLevel="2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2">
      <c r="A501" s="86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2">
      <c r="A502" s="86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2">
      <c r="A503" s="86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2">
      <c r="A504" s="86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2">
      <c r="A505" s="86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2">
      <c r="A506" s="86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2">
      <c r="A507" s="86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2">
      <c r="A508" s="86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2">
      <c r="A509" s="86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2">
      <c r="A510" s="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idden="1" outlineLevel="2">
      <c r="A511" s="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idden="1" outlineLevel="2">
      <c r="A512" s="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idden="1" outlineLevel="2">
      <c r="A513" s="86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idden="1" outlineLevel="2">
      <c r="A514" s="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idden="1" outlineLevel="2">
      <c r="A515" s="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2">
      <c r="A516" s="5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2">
      <c r="A517" s="86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outlineLevel="1" collapsed="1">
      <c r="A518" s="5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outlineLevel="1">
      <c r="A519" s="5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5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outlineLevel="1">
      <c r="A522" s="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5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5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5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5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7"/>
      <c r="B527" s="7"/>
      <c r="C527" s="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7"/>
      <c r="B528" s="7"/>
      <c r="C528" s="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>
      <c r="A529" s="7"/>
      <c r="B529" s="7"/>
      <c r="C529" s="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>
      <c r="A530" s="7"/>
      <c r="B530" s="7"/>
      <c r="C530" s="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>
      <c r="A531" s="7"/>
      <c r="B531" s="7"/>
      <c r="C531" s="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5" max="65535" man="1"/>
    <brk id="296" max="65535" man="1"/>
    <brk id="347" max="65535" man="1"/>
    <brk id="400" max="65535" man="1"/>
    <brk id="455" max="65535" man="1"/>
    <brk id="476" max="65535" man="1"/>
    <brk id="526" max="65535" man="1"/>
    <brk id="589" max="65535" man="1"/>
    <brk id="610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R733"/>
  <sheetViews>
    <sheetView zoomScale="75" zoomScaleNormal="75" workbookViewId="0"/>
  </sheetViews>
  <sheetFormatPr defaultRowHeight="12.75" outlineLevelRow="2" outlineLevelCol="1"/>
  <cols>
    <col min="1" max="1" width="47.285156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.42578125" style="7" bestFit="1" customWidth="1"/>
    <col min="24" max="16384" width="9.140625" style="7"/>
  </cols>
  <sheetData>
    <row r="1" spans="1:51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1" ht="18.75">
      <c r="A2" s="52" t="s">
        <v>95</v>
      </c>
      <c r="B2" s="369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1" ht="13.5" thickBot="1">
      <c r="A5" s="194" t="s">
        <v>56</v>
      </c>
      <c r="B5" s="8">
        <f>Brownsville!$B$5</f>
        <v>2001</v>
      </c>
      <c r="C5" s="8">
        <f>B5+1</f>
        <v>2002</v>
      </c>
      <c r="D5" s="8">
        <f t="shared" ref="D5:U5" si="0">C5+1</f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1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1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4742.12</v>
      </c>
      <c r="AA7" s="470">
        <f>C10+C11</f>
        <v>4884.3836000000001</v>
      </c>
      <c r="AB7" s="470">
        <f>D10+D11</f>
        <v>5030.9151080000001</v>
      </c>
      <c r="AC7" s="470">
        <f t="shared" ref="AC7:AS7" si="1">E16</f>
        <v>4731.6390372399992</v>
      </c>
      <c r="AD7" s="470">
        <f t="shared" si="1"/>
        <v>4873.5882083571996</v>
      </c>
      <c r="AE7" s="470">
        <f t="shared" si="1"/>
        <v>5019.7958546079153</v>
      </c>
      <c r="AF7" s="470">
        <f t="shared" si="1"/>
        <v>5170.3897302461537</v>
      </c>
      <c r="AG7" s="470">
        <f t="shared" si="1"/>
        <v>5325.5014221535375</v>
      </c>
      <c r="AH7" s="470">
        <f t="shared" si="1"/>
        <v>5485.2664648181426</v>
      </c>
      <c r="AI7" s="470">
        <f t="shared" si="1"/>
        <v>5649.8244587626887</v>
      </c>
      <c r="AJ7" s="470">
        <f t="shared" si="1"/>
        <v>5819.3191925255687</v>
      </c>
      <c r="AK7" s="470">
        <f t="shared" si="1"/>
        <v>5993.8987683013347</v>
      </c>
      <c r="AL7" s="470">
        <f t="shared" si="1"/>
        <v>6173.7157313503749</v>
      </c>
      <c r="AM7" s="470">
        <f t="shared" si="1"/>
        <v>6358.9272032908866</v>
      </c>
      <c r="AN7" s="470">
        <f t="shared" si="1"/>
        <v>6549.6950193896137</v>
      </c>
      <c r="AO7" s="470">
        <f t="shared" si="1"/>
        <v>6746.1858699713002</v>
      </c>
      <c r="AP7" s="470">
        <f t="shared" si="1"/>
        <v>6948.5714460704403</v>
      </c>
      <c r="AQ7" s="470">
        <f t="shared" si="1"/>
        <v>7157.0285894525532</v>
      </c>
      <c r="AR7" s="470">
        <f t="shared" si="1"/>
        <v>7371.7394471361295</v>
      </c>
      <c r="AS7" s="470">
        <f t="shared" si="1"/>
        <v>7592.8916305502144</v>
      </c>
    </row>
    <row r="8" spans="1:51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92">
        <v>0</v>
      </c>
      <c r="Z8" s="491">
        <f>B23+B24</f>
        <v>4742.12</v>
      </c>
      <c r="AA8" s="491">
        <f>C23+C24</f>
        <v>4884.3836000000001</v>
      </c>
      <c r="AB8" s="491">
        <f>D23+D24</f>
        <v>5030.9151080000001</v>
      </c>
      <c r="AC8" s="491">
        <f t="shared" ref="AC8:AS8" si="2">E23+1/3*E24</f>
        <v>4731.6390372399992</v>
      </c>
      <c r="AD8" s="491">
        <f t="shared" si="2"/>
        <v>4873.5882083571996</v>
      </c>
      <c r="AE8" s="491">
        <f t="shared" si="2"/>
        <v>5019.7958546079153</v>
      </c>
      <c r="AF8" s="491">
        <f t="shared" si="2"/>
        <v>5170.3897302461537</v>
      </c>
      <c r="AG8" s="491">
        <f t="shared" si="2"/>
        <v>5325.5014221535375</v>
      </c>
      <c r="AH8" s="491">
        <f t="shared" si="2"/>
        <v>5485.2664648181426</v>
      </c>
      <c r="AI8" s="491">
        <f t="shared" si="2"/>
        <v>5649.8244587626887</v>
      </c>
      <c r="AJ8" s="491">
        <f t="shared" si="2"/>
        <v>5819.3191925255687</v>
      </c>
      <c r="AK8" s="491">
        <f t="shared" si="2"/>
        <v>5993.8987683013347</v>
      </c>
      <c r="AL8" s="491">
        <f t="shared" si="2"/>
        <v>6173.7157313503749</v>
      </c>
      <c r="AM8" s="491">
        <f t="shared" si="2"/>
        <v>6358.9272032908866</v>
      </c>
      <c r="AN8" s="491">
        <f t="shared" si="2"/>
        <v>6549.6950193896137</v>
      </c>
      <c r="AO8" s="491">
        <f t="shared" si="2"/>
        <v>6746.1858699713002</v>
      </c>
      <c r="AP8" s="491">
        <f t="shared" si="2"/>
        <v>6948.5714460704403</v>
      </c>
      <c r="AQ8" s="491">
        <f t="shared" si="2"/>
        <v>7157.0285894525532</v>
      </c>
      <c r="AR8" s="491">
        <f t="shared" si="2"/>
        <v>7371.7394471361295</v>
      </c>
      <c r="AS8" s="491">
        <f t="shared" si="2"/>
        <v>7592.8916305502144</v>
      </c>
      <c r="AT8" s="16"/>
      <c r="AU8" s="16"/>
      <c r="AV8" s="16"/>
      <c r="AW8" s="16"/>
      <c r="AX8" s="16"/>
      <c r="AY8" s="16"/>
    </row>
    <row r="9" spans="1:51">
      <c r="A9" s="3" t="s">
        <v>58</v>
      </c>
      <c r="B9" s="56">
        <f>'Power Price Assumption'!C53*12*Assumptions!$I$9</f>
        <v>29184</v>
      </c>
      <c r="C9" s="56">
        <f>'Power Price Assumption'!D53*12*Assumptions!$I$9</f>
        <v>29184</v>
      </c>
      <c r="D9" s="56">
        <f>'Power Price Assumption'!E53*12*Assumptions!$I$9</f>
        <v>29184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87552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T9" s="16"/>
      <c r="AU9" s="16"/>
      <c r="AV9" s="16"/>
      <c r="AW9" s="16"/>
      <c r="AX9" s="16"/>
      <c r="AY9" s="16"/>
    </row>
    <row r="10" spans="1:51">
      <c r="A10" s="3" t="s">
        <v>204</v>
      </c>
      <c r="B10" s="56">
        <f>Assumptions!I19*Assumptions!I17/1000*(1+Assumptions!$I$25)</f>
        <v>4124.12</v>
      </c>
      <c r="C10" s="56">
        <f>B10*(1+Assumptions!$I$25)</f>
        <v>4247.8436000000002</v>
      </c>
      <c r="D10" s="56">
        <f>C10*(1+Assumptions!$I$25)</f>
        <v>4375.2789080000002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12747.242507999999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</row>
    <row r="11" spans="1:51">
      <c r="A11" s="3" t="s">
        <v>249</v>
      </c>
      <c r="B11" s="127">
        <f>Assumptions!$I$18*Assumptions!$I$11*Assumptions!$I$8/1000*(1+Assumptions!$I$25)</f>
        <v>618</v>
      </c>
      <c r="C11" s="91">
        <f>B11*(1+Assumptions!$I$25)</f>
        <v>636.54</v>
      </c>
      <c r="D11" s="91">
        <f>C11*(1+Assumptions!$I$25)</f>
        <v>655.63620000000003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1910.1761999999999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>
      <c r="A12" s="3" t="s">
        <v>269</v>
      </c>
      <c r="B12" s="127">
        <f>'Amortization of Power Contract'!$C$41/3</f>
        <v>12464.127487981823</v>
      </c>
      <c r="C12" s="127">
        <f>'Amortization of Power Contract'!$C$41/3</f>
        <v>12464.127487981823</v>
      </c>
      <c r="D12" s="127">
        <f>'Amortization of Power Contract'!$C$41/3</f>
        <v>12464.127487981823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37392.382463945469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</row>
    <row r="13" spans="1:51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</row>
    <row r="14" spans="1:51">
      <c r="A14" s="343" t="s">
        <v>274</v>
      </c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17"/>
      <c r="P14" s="417"/>
      <c r="Q14" s="417"/>
      <c r="R14" s="417"/>
      <c r="S14" s="417"/>
      <c r="T14" s="417"/>
      <c r="U14" s="417"/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</row>
    <row r="15" spans="1:51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Assumption'!F53*Assumptions!$I$9*12</f>
        <v>48870.984327150094</v>
      </c>
      <c r="F15" s="19">
        <f>'Power Price Assumption'!G53*Assumptions!$I$9*12</f>
        <v>51162.7528016746</v>
      </c>
      <c r="G15" s="19">
        <f>'Power Price Assumption'!H53*Assumptions!$I$9*12</f>
        <v>52194.062403645206</v>
      </c>
      <c r="H15" s="19">
        <f>'Power Price Assumption'!I53*Assumptions!$I$9*12</f>
        <v>53246.160556600138</v>
      </c>
      <c r="I15" s="19">
        <f>'Power Price Assumption'!J53*Assumptions!$I$9*12</f>
        <v>54319.46630429817</v>
      </c>
      <c r="J15" s="19">
        <f>'Power Price Assumption'!K53*Assumptions!$I$9*12</f>
        <v>55414.40713734318</v>
      </c>
      <c r="K15" s="19">
        <f>'Power Price Assumption'!L53*Assumptions!$I$9*12</f>
        <v>56531.419163450977</v>
      </c>
      <c r="L15" s="19">
        <f>'Power Price Assumption'!M53*Assumptions!$I$9*12</f>
        <v>57643.022453635509</v>
      </c>
      <c r="M15" s="19">
        <f>'Power Price Assumption'!N53*Assumptions!$I$9*12</f>
        <v>58776.483710469969</v>
      </c>
      <c r="N15" s="19">
        <f>'Power Price Assumption'!O53*Assumptions!$I$9*12</f>
        <v>59932.232737203711</v>
      </c>
      <c r="O15" s="19">
        <f>'Power Price Assumption'!P53*Assumptions!$I$9*12</f>
        <v>61110.707788504937</v>
      </c>
      <c r="P15" s="19">
        <f>'Power Price Assumption'!Q53*Assumptions!$I$9*12</f>
        <v>62312.355736644997</v>
      </c>
      <c r="Q15" s="19">
        <f>'Power Price Assumption'!R53*Assumptions!$I$9*12</f>
        <v>63270.978088780772</v>
      </c>
      <c r="R15" s="19">
        <f>'Power Price Assumption'!S53*Assumptions!$I$9*12</f>
        <v>64244.348026738808</v>
      </c>
      <c r="S15" s="19">
        <f>'Power Price Assumption'!T53*Assumptions!$I$9*12</f>
        <v>65232.692429526382</v>
      </c>
      <c r="T15" s="19">
        <f>'Power Price Assumption'!U53*Assumptions!$I$9*12</f>
        <v>66236.241666490401</v>
      </c>
      <c r="U15" s="19">
        <f>'Power Price Assumption'!V53*Assumptions!$I$9*12</f>
        <v>67255.229651013404</v>
      </c>
      <c r="W15" s="91">
        <f>SUM(B15:U15)</f>
        <v>997753.54498317116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 spans="1:51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1/3*Assumptions!$I$18*Assumptions!$I$11*Assumptions!$I$8/1000*(1+Assumptions!$I$25)^(E5-2000)+Assumptions!$I$19*Assumptions!$I$17*(1+Assumptions!$I$25)^(E5-2000)/1000</f>
        <v>4731.6390372399992</v>
      </c>
      <c r="F16" s="127">
        <f>1/3*Assumptions!$I$18*Assumptions!$I$11*Assumptions!$I$8/1000*(1+Assumptions!$I$25)^(F5-2000)+Assumptions!$I$19*Assumptions!$I$17*(1+Assumptions!$I$25)^(F5-2000)/1000</f>
        <v>4873.5882083571996</v>
      </c>
      <c r="G16" s="127">
        <f>1/3*Assumptions!$I$18*Assumptions!$I$11*Assumptions!$I$8/1000*(1+Assumptions!$I$25)^(G5-2000)+Assumptions!$I$19*Assumptions!$I$17*(1+Assumptions!$I$25)^(G5-2000)/1000</f>
        <v>5019.7958546079153</v>
      </c>
      <c r="H16" s="127">
        <f>1/3*Assumptions!$I$18*Assumptions!$I$11*Assumptions!$I$8/1000*(1+Assumptions!$I$25)^(H5-2000)+Assumptions!$I$19*Assumptions!$I$17*(1+Assumptions!$I$25)^(H5-2000)/1000</f>
        <v>5170.3897302461537</v>
      </c>
      <c r="I16" s="127">
        <f>1/3*Assumptions!$I$18*Assumptions!$I$11*Assumptions!$I$8/1000*(1+Assumptions!$I$25)^(I5-2000)+Assumptions!$I$19*Assumptions!$I$17*(1+Assumptions!$I$25)^(I5-2000)/1000</f>
        <v>5325.5014221535375</v>
      </c>
      <c r="J16" s="127">
        <f>1/3*Assumptions!$I$18*Assumptions!$I$11*Assumptions!$I$8/1000*(1+Assumptions!$I$25)^(J5-2000)+Assumptions!$I$19*Assumptions!$I$17*(1+Assumptions!$I$25)^(J5-2000)/1000</f>
        <v>5485.2664648181426</v>
      </c>
      <c r="K16" s="127">
        <f>1/3*Assumptions!$I$18*Assumptions!$I$11*Assumptions!$I$8/1000*(1+Assumptions!$I$25)^(K5-2000)+Assumptions!$I$19*Assumptions!$I$17*(1+Assumptions!$I$25)^(K5-2000)/1000</f>
        <v>5649.8244587626887</v>
      </c>
      <c r="L16" s="127">
        <f>1/3*Assumptions!$I$18*Assumptions!$I$11*Assumptions!$I$8/1000*(1+Assumptions!$I$25)^(L5-2000)+Assumptions!$I$19*Assumptions!$I$17*(1+Assumptions!$I$25)^(L5-2000)/1000</f>
        <v>5819.3191925255687</v>
      </c>
      <c r="M16" s="127">
        <f>1/3*Assumptions!$I$18*Assumptions!$I$11*Assumptions!$I$8/1000*(1+Assumptions!$I$25)^(M5-2000)+Assumptions!$I$19*Assumptions!$I$17*(1+Assumptions!$I$25)^(M5-2000)/1000</f>
        <v>5993.8987683013347</v>
      </c>
      <c r="N16" s="127">
        <f>1/3*Assumptions!$I$18*Assumptions!$I$11*Assumptions!$I$8/1000*(1+Assumptions!$I$25)^(N5-2000)+Assumptions!$I$19*Assumptions!$I$17*(1+Assumptions!$I$25)^(N5-2000)/1000</f>
        <v>6173.7157313503749</v>
      </c>
      <c r="O16" s="127">
        <f>1/3*Assumptions!$I$18*Assumptions!$I$11*Assumptions!$I$8/1000*(1+Assumptions!$I$25)^(O5-2000)+Assumptions!$I$19*Assumptions!$I$17*(1+Assumptions!$I$25)^(O5-2000)/1000</f>
        <v>6358.9272032908866</v>
      </c>
      <c r="P16" s="127">
        <f>1/3*Assumptions!$I$18*Assumptions!$I$11*Assumptions!$I$8/1000*(1+Assumptions!$I$25)^(P5-2000)+Assumptions!$I$19*Assumptions!$I$17*(1+Assumptions!$I$25)^(P5-2000)/1000</f>
        <v>6549.6950193896137</v>
      </c>
      <c r="Q16" s="127">
        <f>1/3*Assumptions!$I$18*Assumptions!$I$11*Assumptions!$I$8/1000*(1+Assumptions!$I$25)^(Q5-2000)+Assumptions!$I$19*Assumptions!$I$17*(1+Assumptions!$I$25)^(Q5-2000)/1000</f>
        <v>6746.1858699713002</v>
      </c>
      <c r="R16" s="127">
        <f>1/3*Assumptions!$I$18*Assumptions!$I$11*Assumptions!$I$8/1000*(1+Assumptions!$I$25)^(R5-2000)+Assumptions!$I$19*Assumptions!$I$17*(1+Assumptions!$I$25)^(R5-2000)/1000</f>
        <v>6948.5714460704403</v>
      </c>
      <c r="S16" s="127">
        <f>1/3*Assumptions!$I$18*Assumptions!$I$11*Assumptions!$I$8/1000*(1+Assumptions!$I$25)^(S5-2000)+Assumptions!$I$19*Assumptions!$I$17*(1+Assumptions!$I$25)^(S5-2000)/1000</f>
        <v>7157.0285894525532</v>
      </c>
      <c r="T16" s="127">
        <f>1/3*Assumptions!$I$18*Assumptions!$I$11*Assumptions!$I$8/1000*(1+Assumptions!$I$25)^(T5-2000)+Assumptions!$I$19*Assumptions!$I$17*(1+Assumptions!$I$25)^(T5-2000)/1000</f>
        <v>7371.7394471361295</v>
      </c>
      <c r="U16" s="127">
        <f>1/3*Assumptions!$I$18*Assumptions!$I$11*Assumptions!$I$8/1000*(1+Assumptions!$I$25)^(U5-2000)+Assumptions!$I$19*Assumptions!$I$17*(1+Assumptions!$I$25)^(U5-2000)/1000</f>
        <v>7592.8916305502144</v>
      </c>
      <c r="W16" s="91">
        <f>SUM(B16:U16)</f>
        <v>102967.97807422408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 spans="1:51" s="62" customFormat="1" ht="12" customHeight="1">
      <c r="A18" s="3" t="s">
        <v>167</v>
      </c>
      <c r="B18" s="198">
        <f>(SUM(B9:B11)-SUM(B22:B27))*'Summary Output'!$B$29/4</f>
        <v>331.12124700534935</v>
      </c>
      <c r="C18" s="198">
        <f>(SUM(C9:C11)-SUM(C22:C27))*'Summary Output'!$B$29/4</f>
        <v>331.17131864178054</v>
      </c>
      <c r="D18" s="198">
        <f>(SUM(D9:D11)-SUM(D22:D27))*'Summary Output'!$B$29/4</f>
        <v>330.28939242449837</v>
      </c>
      <c r="E18" s="198">
        <f>(SUM(E9:E16)-SUM(E22:E27))*'Summary Output'!$B$29/4</f>
        <v>569.8426559600739</v>
      </c>
      <c r="F18" s="198">
        <f>(SUM(F9:F16)-SUM(F22:F27))*'Summary Output'!$B$29/4</f>
        <v>597.38920667121567</v>
      </c>
      <c r="G18" s="198">
        <f>(SUM(G9:G16)-SUM(G22:G27))*'Summary Output'!$B$29/4</f>
        <v>609.14779231882119</v>
      </c>
      <c r="H18" s="198">
        <f>(SUM(H9:H16)-SUM(H22:H27))*'Summary Output'!$B$29/4</f>
        <v>621.29190132242002</v>
      </c>
      <c r="I18" s="198">
        <f>(SUM(I9:I16)-SUM(I22:I27))*'Summary Output'!$B$29/4</f>
        <v>633.67089172305737</v>
      </c>
      <c r="J18" s="198">
        <f>(SUM(J9:J16)-SUM(J22:J27))*'Summary Output'!$B$29/4</f>
        <v>646.28920074716427</v>
      </c>
      <c r="K18" s="198">
        <f>(SUM(K9:K16)-SUM(K22:K27))*'Summary Output'!$B$29/4</f>
        <v>659.15134614288752</v>
      </c>
      <c r="L18" s="198">
        <f>(SUM(L9:L16)-SUM(L22:L27))*'Summary Output'!$B$29/4</f>
        <v>671.912867191651</v>
      </c>
      <c r="M18" s="198">
        <f>(SUM(M9:M16)-SUM(M22:M27))*'Summary Output'!$B$29/4</f>
        <v>684.91360722118247</v>
      </c>
      <c r="N18" s="198">
        <f>(SUM(N9:N16)-SUM(N22:N27))*'Summary Output'!$B$29/4</f>
        <v>698.15791860402783</v>
      </c>
      <c r="O18" s="198">
        <f>(SUM(O9:O16)-SUM(O22:O27))*'Summary Output'!$B$29/4</f>
        <v>711.65022875042723</v>
      </c>
      <c r="P18" s="198">
        <f>(SUM(P9:P16)-SUM(P22:P27))*'Summary Output'!$B$29/4</f>
        <v>725.39504126746579</v>
      </c>
      <c r="Q18" s="198">
        <f>(SUM(Q9:Q16)-SUM(Q22:Q27))*'Summary Output'!$B$29/4</f>
        <v>736.06376022940958</v>
      </c>
      <c r="R18" s="198">
        <f>(SUM(R9:R16)-SUM(R22:R27))*'Summary Output'!$B$29/4</f>
        <v>746.87740220093883</v>
      </c>
      <c r="S18" s="198">
        <f>(SUM(S9:S16)-SUM(S22:S27))*'Summary Output'!$B$29/4</f>
        <v>757.837620515249</v>
      </c>
      <c r="T18" s="198">
        <f>(SUM(T9:T16)-SUM(T22:T27))*'Summary Output'!$B$29/4</f>
        <v>768.94607665514889</v>
      </c>
      <c r="U18" s="198">
        <f>(SUM(U9:U16)-SUM(U22:U27))*'Summary Output'!$B$29/4</f>
        <v>780.2044398598714</v>
      </c>
      <c r="W18" s="91">
        <f>SUM(B18:U18)</f>
        <v>12611.323915452642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 spans="1:51" s="62" customFormat="1" ht="12" customHeight="1">
      <c r="A19" s="3" t="s">
        <v>60</v>
      </c>
      <c r="B19" s="56">
        <f>SUM(B9:B18)</f>
        <v>46721.368734987176</v>
      </c>
      <c r="C19" s="56">
        <f t="shared" ref="C19:U19" si="4">SUM(C9:C18)</f>
        <v>46863.682406623608</v>
      </c>
      <c r="D19" s="56">
        <f t="shared" si="4"/>
        <v>47009.331988406324</v>
      </c>
      <c r="E19" s="56">
        <f t="shared" si="4"/>
        <v>54172.46602035017</v>
      </c>
      <c r="F19" s="56">
        <f t="shared" si="4"/>
        <v>56633.730216703014</v>
      </c>
      <c r="G19" s="56">
        <f t="shared" si="4"/>
        <v>57823.006050571945</v>
      </c>
      <c r="H19" s="56">
        <f t="shared" si="4"/>
        <v>59037.84218816871</v>
      </c>
      <c r="I19" s="56">
        <f t="shared" si="4"/>
        <v>60278.638618174766</v>
      </c>
      <c r="J19" s="56">
        <f t="shared" si="4"/>
        <v>61545.962802908492</v>
      </c>
      <c r="K19" s="56">
        <f t="shared" si="4"/>
        <v>62840.394968356552</v>
      </c>
      <c r="L19" s="56">
        <f t="shared" si="4"/>
        <v>64134.254513352724</v>
      </c>
      <c r="M19" s="56">
        <f t="shared" si="4"/>
        <v>65455.296085992486</v>
      </c>
      <c r="N19" s="56">
        <f t="shared" si="4"/>
        <v>66804.106387158114</v>
      </c>
      <c r="O19" s="56">
        <f t="shared" si="4"/>
        <v>68181.285220546255</v>
      </c>
      <c r="P19" s="56">
        <f t="shared" si="4"/>
        <v>69587.445797302076</v>
      </c>
      <c r="Q19" s="56">
        <f t="shared" si="4"/>
        <v>70753.227718981492</v>
      </c>
      <c r="R19" s="56">
        <f t="shared" si="4"/>
        <v>71939.796875010186</v>
      </c>
      <c r="S19" s="56">
        <f t="shared" si="4"/>
        <v>73147.558639494178</v>
      </c>
      <c r="T19" s="56">
        <f t="shared" si="4"/>
        <v>74376.927190281684</v>
      </c>
      <c r="U19" s="56">
        <f t="shared" si="4"/>
        <v>75628.325721423491</v>
      </c>
      <c r="W19" s="91">
        <f>SUM(B19:U19)</f>
        <v>1252934.6481447937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 spans="1:51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1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1">
      <c r="A22" s="3" t="s">
        <v>48</v>
      </c>
      <c r="B22" s="127">
        <f>Assumptions!I28*(1+Assumptions!$I$25)</f>
        <v>1491.9967885714286</v>
      </c>
      <c r="C22" s="91">
        <f>B22*(1+Assumptions!$I$25)</f>
        <v>1536.7566922285714</v>
      </c>
      <c r="D22" s="91">
        <f>C22*(1+Assumptions!$I$25)</f>
        <v>1582.8593929954286</v>
      </c>
      <c r="E22" s="91">
        <f>D22*(1+Assumptions!$I$25)</f>
        <v>1630.3451747852914</v>
      </c>
      <c r="F22" s="91">
        <f>E22*(1+Assumptions!$I$25)</f>
        <v>1679.2555300288502</v>
      </c>
      <c r="G22" s="91">
        <f>F22*(1+Assumptions!$I$25)</f>
        <v>1729.6331959297158</v>
      </c>
      <c r="H22" s="91">
        <f>G22*(1+Assumptions!$I$25)</f>
        <v>1781.5221918076074</v>
      </c>
      <c r="I22" s="91">
        <f>H22*(1+Assumptions!$I$25)</f>
        <v>1834.9678575618357</v>
      </c>
      <c r="J22" s="91">
        <f>I22*(1+Assumptions!$I$25)</f>
        <v>1890.0168932886909</v>
      </c>
      <c r="K22" s="91">
        <f>J22*(1+Assumptions!$I$25)</f>
        <v>1946.7174000873517</v>
      </c>
      <c r="L22" s="91">
        <f>K22*(1+Assumptions!$I$25)</f>
        <v>2005.1189220899723</v>
      </c>
      <c r="M22" s="91">
        <f>L22*(1+Assumptions!$I$25)</f>
        <v>2065.2724897526714</v>
      </c>
      <c r="N22" s="91">
        <f>M22*(1+Assumptions!$I$25)</f>
        <v>2127.2306644452515</v>
      </c>
      <c r="O22" s="91">
        <f>N22*(1+Assumptions!$I$25)</f>
        <v>2191.0475843786089</v>
      </c>
      <c r="P22" s="91">
        <f>O22*(1+Assumptions!$I$25)</f>
        <v>2256.7790119099673</v>
      </c>
      <c r="Q22" s="91">
        <f>P22*(1+Assumptions!$I$25)</f>
        <v>2324.4823822672665</v>
      </c>
      <c r="R22" s="91">
        <f>Q22*(1+Assumptions!$I$25)</f>
        <v>2394.2168537352845</v>
      </c>
      <c r="S22" s="91">
        <f>R22*(1+Assumptions!$I$25)</f>
        <v>2466.0433593473431</v>
      </c>
      <c r="T22" s="91">
        <f>S22*(1+Assumptions!$I$25)</f>
        <v>2540.0246601277636</v>
      </c>
      <c r="U22" s="91">
        <f>T22*(1+Assumptions!$I$25)</f>
        <v>2616.2253999315967</v>
      </c>
      <c r="W22" s="91">
        <f t="shared" ref="W22:W28" si="5">SUM(B22:U22)</f>
        <v>40090.512445270491</v>
      </c>
    </row>
    <row r="23" spans="1:51">
      <c r="A23" s="3" t="s">
        <v>49</v>
      </c>
      <c r="B23" s="127">
        <f>Assumptions!$I$29*(1+Assumptions!$I$25)</f>
        <v>4124.12</v>
      </c>
      <c r="C23" s="56">
        <f>B23*(1+Assumptions!$I$25)</f>
        <v>4247.8436000000002</v>
      </c>
      <c r="D23" s="56">
        <f>C23*(1+Assumptions!$I$25)</f>
        <v>4375.2789080000002</v>
      </c>
      <c r="E23" s="127">
        <f>Assumptions!$I$19*Assumptions!$I$23*(1+Assumptions!$I$25)^(E5-2000)/1000</f>
        <v>4506.537275239999</v>
      </c>
      <c r="F23" s="127">
        <f>Assumptions!$I$19*Assumptions!$I$23*(1+Assumptions!$I$25)^(F5-2000)/1000</f>
        <v>4641.7333934971994</v>
      </c>
      <c r="G23" s="127">
        <f>Assumptions!$I$19*Assumptions!$I$23*(1+Assumptions!$I$25)^(G5-2000)/1000</f>
        <v>4780.9853953021156</v>
      </c>
      <c r="H23" s="127">
        <f>Assumptions!$I$19*Assumptions!$I$23*(1+Assumptions!$I$25)^(H5-2000)/1000</f>
        <v>4924.4149571611797</v>
      </c>
      <c r="I23" s="127">
        <f>Assumptions!$I$19*Assumptions!$I$23*(1+Assumptions!$I$25)^(I5-2000)/1000</f>
        <v>5072.1474058760141</v>
      </c>
      <c r="J23" s="127">
        <f>Assumptions!$I$19*Assumptions!$I$23*(1+Assumptions!$I$25)^(J5-2000)/1000</f>
        <v>5224.311828052294</v>
      </c>
      <c r="K23" s="127">
        <f>Assumptions!$I$19*Assumptions!$I$23*(1+Assumptions!$I$25)^(K5-2000)/1000</f>
        <v>5381.0411828938641</v>
      </c>
      <c r="L23" s="127">
        <f>Assumptions!$I$19*Assumptions!$I$23*(1+Assumptions!$I$25)^(L5-2000)/1000</f>
        <v>5542.4724183806793</v>
      </c>
      <c r="M23" s="127">
        <f>Assumptions!$I$19*Assumptions!$I$23*(1+Assumptions!$I$25)^(M5-2000)/1000</f>
        <v>5708.746590932099</v>
      </c>
      <c r="N23" s="127">
        <f>Assumptions!$I$19*Assumptions!$I$23*(1+Assumptions!$I$25)^(N5-2000)/1000</f>
        <v>5880.0089886600617</v>
      </c>
      <c r="O23" s="127">
        <f>Assumptions!$I$19*Assumptions!$I$23*(1+Assumptions!$I$25)^(O5-2000)/1000</f>
        <v>6056.4092583198644</v>
      </c>
      <c r="P23" s="127">
        <f>Assumptions!$I$19*Assumptions!$I$23*(1+Assumptions!$I$25)^(P5-2000)/1000</f>
        <v>6238.101536069461</v>
      </c>
      <c r="Q23" s="127">
        <f>Assumptions!$I$19*Assumptions!$I$23*(1+Assumptions!$I$25)^(Q5-2000)/1000</f>
        <v>6425.244582151543</v>
      </c>
      <c r="R23" s="127">
        <f>Assumptions!$I$19*Assumptions!$I$23*(1+Assumptions!$I$25)^(R5-2000)/1000</f>
        <v>6618.0019196160902</v>
      </c>
      <c r="S23" s="127">
        <f>Assumptions!$I$19*Assumptions!$I$23*(1+Assumptions!$I$25)^(S5-2000)/1000</f>
        <v>6816.5419772045725</v>
      </c>
      <c r="T23" s="127">
        <f>Assumptions!$I$19*Assumptions!$I$23*(1+Assumptions!$I$25)^(T5-2000)/1000</f>
        <v>7021.0382365207097</v>
      </c>
      <c r="U23" s="127">
        <f>Assumptions!$I$19*Assumptions!$I$23*(1+Assumptions!$I$25)^(U5-2000)/1000</f>
        <v>7231.6693836163313</v>
      </c>
      <c r="W23" s="91">
        <f t="shared" si="5"/>
        <v>110816.64883749407</v>
      </c>
    </row>
    <row r="24" spans="1:51">
      <c r="A24" s="3" t="s">
        <v>256</v>
      </c>
      <c r="B24" s="127">
        <f>Assumptions!$I$24*Assumptions!$I$11*Assumptions!$I$8/1000*(1+Assumptions!$I$25)</f>
        <v>618</v>
      </c>
      <c r="C24" s="91">
        <f>B24*(1+Assumptions!$I$25)</f>
        <v>636.54</v>
      </c>
      <c r="D24" s="91">
        <f>C24*(1+Assumptions!$I$25)</f>
        <v>655.63620000000003</v>
      </c>
      <c r="E24" s="91">
        <f>D24*(1+Assumptions!$I$25)</f>
        <v>675.30528600000002</v>
      </c>
      <c r="F24" s="91">
        <f>E24*(1+Assumptions!$I$25)</f>
        <v>695.56444457999999</v>
      </c>
      <c r="G24" s="91">
        <f>F24*(1+Assumptions!$I$25)</f>
        <v>716.43137791740003</v>
      </c>
      <c r="H24" s="91">
        <f>G24*(1+Assumptions!$I$25)</f>
        <v>737.92431925492201</v>
      </c>
      <c r="I24" s="91">
        <f>H24*(1+Assumptions!$I$25)</f>
        <v>760.06204883256964</v>
      </c>
      <c r="J24" s="91">
        <f>I24*(1+Assumptions!$I$25)</f>
        <v>782.86391029754679</v>
      </c>
      <c r="K24" s="91">
        <f>J24*(1+Assumptions!$I$25)</f>
        <v>806.34982760647324</v>
      </c>
      <c r="L24" s="91">
        <f>K24*(1+Assumptions!$I$25)</f>
        <v>830.54032243466747</v>
      </c>
      <c r="M24" s="91">
        <f>L24*(1+Assumptions!$I$25)</f>
        <v>855.45653210770752</v>
      </c>
      <c r="N24" s="91">
        <f>M24*(1+Assumptions!$I$25)</f>
        <v>881.12022807093877</v>
      </c>
      <c r="O24" s="91">
        <f>N24*(1+Assumptions!$I$25)</f>
        <v>907.55383491306691</v>
      </c>
      <c r="P24" s="91">
        <f>O24*(1+Assumptions!$I$25)</f>
        <v>934.7804499604589</v>
      </c>
      <c r="Q24" s="91">
        <f>P24*(1+Assumptions!$I$25)</f>
        <v>962.82386345927273</v>
      </c>
      <c r="R24" s="91">
        <f>Q24*(1+Assumptions!$I$25)</f>
        <v>991.70857936305094</v>
      </c>
      <c r="S24" s="91">
        <f>R24*(1+Assumptions!$I$25)</f>
        <v>1021.4598367439424</v>
      </c>
      <c r="T24" s="91">
        <f>S24*(1+Assumptions!$I$25)</f>
        <v>1052.1036318462607</v>
      </c>
      <c r="U24" s="91">
        <f>T24*(1+Assumptions!$I$25)</f>
        <v>1083.6667408016485</v>
      </c>
      <c r="W24" s="91">
        <f t="shared" si="5"/>
        <v>16605.891434189925</v>
      </c>
    </row>
    <row r="25" spans="1:51">
      <c r="A25" s="3" t="s">
        <v>112</v>
      </c>
      <c r="B25" s="127">
        <f>Assumptions!I31*(1+Assumptions!$I$25)</f>
        <v>412.66655714285713</v>
      </c>
      <c r="C25" s="91">
        <f>B25*(1+Assumptions!$I$25)</f>
        <v>425.04655385714284</v>
      </c>
      <c r="D25" s="91">
        <f>C25*(1+Assumptions!$I$25)</f>
        <v>437.79795047285711</v>
      </c>
      <c r="E25" s="91">
        <f>D25*(1+Assumptions!$I$25)</f>
        <v>450.93188898704284</v>
      </c>
      <c r="F25" s="91">
        <f>E25*(1+Assumptions!$I$25)</f>
        <v>464.45984565665412</v>
      </c>
      <c r="G25" s="91">
        <f>F25*(1+Assumptions!$I$25)</f>
        <v>478.39364102635375</v>
      </c>
      <c r="H25" s="91">
        <f>G25*(1+Assumptions!$I$25)</f>
        <v>492.7454502571444</v>
      </c>
      <c r="I25" s="91">
        <f>H25*(1+Assumptions!$I$25)</f>
        <v>507.52781376485876</v>
      </c>
      <c r="J25" s="91">
        <f>I25*(1+Assumptions!$I$25)</f>
        <v>522.75364817780451</v>
      </c>
      <c r="K25" s="91">
        <f>J25*(1+Assumptions!$I$25)</f>
        <v>538.43625762313866</v>
      </c>
      <c r="L25" s="91">
        <f>K25*(1+Assumptions!$I$25)</f>
        <v>554.58934535183278</v>
      </c>
      <c r="M25" s="91">
        <f>L25*(1+Assumptions!$I$25)</f>
        <v>571.22702571238779</v>
      </c>
      <c r="N25" s="91">
        <f>M25*(1+Assumptions!$I$25)</f>
        <v>588.36383648375943</v>
      </c>
      <c r="O25" s="91">
        <f>N25*(1+Assumptions!$I$25)</f>
        <v>606.01475157827224</v>
      </c>
      <c r="P25" s="91">
        <f>O25*(1+Assumptions!$I$25)</f>
        <v>624.19519412562045</v>
      </c>
      <c r="Q25" s="91">
        <f>P25*(1+Assumptions!$I$25)</f>
        <v>642.92104994938904</v>
      </c>
      <c r="R25" s="91">
        <f>Q25*(1+Assumptions!$I$25)</f>
        <v>662.20868144787073</v>
      </c>
      <c r="S25" s="91">
        <f>R25*(1+Assumptions!$I$25)</f>
        <v>682.07494189130682</v>
      </c>
      <c r="T25" s="91">
        <f>S25*(1+Assumptions!$I$25)</f>
        <v>702.53719014804608</v>
      </c>
      <c r="U25" s="91">
        <f>T25*(1+Assumptions!$I$25)</f>
        <v>723.61330585248743</v>
      </c>
      <c r="W25" s="91">
        <f t="shared" si="5"/>
        <v>11088.504929506827</v>
      </c>
    </row>
    <row r="26" spans="1:51">
      <c r="A26" s="3" t="s">
        <v>189</v>
      </c>
      <c r="B26" s="456">
        <v>572</v>
      </c>
      <c r="C26" s="456">
        <v>583.4</v>
      </c>
      <c r="D26" s="456">
        <v>595.1</v>
      </c>
      <c r="E26" s="456">
        <v>607</v>
      </c>
      <c r="F26" s="456">
        <v>619.1</v>
      </c>
      <c r="G26" s="456">
        <v>631.5</v>
      </c>
      <c r="H26" s="456">
        <v>631.5</v>
      </c>
      <c r="I26" s="456">
        <v>631.5</v>
      </c>
      <c r="J26" s="456">
        <v>631.5</v>
      </c>
      <c r="K26" s="456">
        <v>631.5</v>
      </c>
      <c r="L26" s="456">
        <v>631.5</v>
      </c>
      <c r="M26" s="456">
        <v>631.5</v>
      </c>
      <c r="N26" s="456">
        <v>631.5</v>
      </c>
      <c r="O26" s="456">
        <v>631.5</v>
      </c>
      <c r="P26" s="456">
        <v>631.5</v>
      </c>
      <c r="Q26" s="456">
        <v>631.5</v>
      </c>
      <c r="R26" s="456">
        <v>631.5</v>
      </c>
      <c r="S26" s="456">
        <v>631.5</v>
      </c>
      <c r="T26" s="456">
        <v>631.5</v>
      </c>
      <c r="U26" s="456">
        <v>631.5</v>
      </c>
      <c r="W26" s="91">
        <f t="shared" si="5"/>
        <v>12449.1</v>
      </c>
    </row>
    <row r="27" spans="1:51" s="16" customFormat="1">
      <c r="A27" s="438" t="s">
        <v>185</v>
      </c>
      <c r="B27" s="146">
        <f>B78</f>
        <v>217.63689385776883</v>
      </c>
      <c r="C27" s="146">
        <f t="shared" ref="C27:U27" si="6">C78</f>
        <v>145.09126257184587</v>
      </c>
      <c r="D27" s="146">
        <f t="shared" si="6"/>
        <v>145.09126257184587</v>
      </c>
      <c r="E27" s="146">
        <f t="shared" si="6"/>
        <v>145.09126257184587</v>
      </c>
      <c r="F27" s="146">
        <f t="shared" si="6"/>
        <v>145.09126257184587</v>
      </c>
      <c r="G27" s="146">
        <f t="shared" si="6"/>
        <v>145.09126257184587</v>
      </c>
      <c r="H27" s="146">
        <f t="shared" si="6"/>
        <v>145.09126257184587</v>
      </c>
      <c r="I27" s="146">
        <f t="shared" si="6"/>
        <v>145.09126257184587</v>
      </c>
      <c r="J27" s="146">
        <f t="shared" si="6"/>
        <v>145.09126257184587</v>
      </c>
      <c r="K27" s="146">
        <f t="shared" si="6"/>
        <v>145.09126257184587</v>
      </c>
      <c r="L27" s="146">
        <f t="shared" si="6"/>
        <v>145.09126257184587</v>
      </c>
      <c r="M27" s="146">
        <f t="shared" si="6"/>
        <v>145.09126257184587</v>
      </c>
      <c r="N27" s="146">
        <f t="shared" si="6"/>
        <v>145.09126257184587</v>
      </c>
      <c r="O27" s="146">
        <f t="shared" si="6"/>
        <v>145.09126257184587</v>
      </c>
      <c r="P27" s="146">
        <f t="shared" si="6"/>
        <v>145.09126257184587</v>
      </c>
      <c r="Q27" s="146">
        <f t="shared" si="6"/>
        <v>145.09126257184587</v>
      </c>
      <c r="R27" s="146">
        <f t="shared" si="6"/>
        <v>145.09126257184587</v>
      </c>
      <c r="S27" s="146">
        <f t="shared" si="6"/>
        <v>145.09126257184587</v>
      </c>
      <c r="T27" s="146">
        <f t="shared" si="6"/>
        <v>145.09126257184587</v>
      </c>
      <c r="U27" s="146">
        <f t="shared" si="6"/>
        <v>145.09126257184587</v>
      </c>
      <c r="V27" s="91"/>
      <c r="W27" s="91">
        <f t="shared" si="5"/>
        <v>2974.3708827228415</v>
      </c>
    </row>
    <row r="28" spans="1:51">
      <c r="A28" s="3" t="s">
        <v>62</v>
      </c>
      <c r="B28" s="127">
        <f t="shared" ref="B28:U28" si="7">SUM(B22:B27)</f>
        <v>7436.4202395720549</v>
      </c>
      <c r="C28" s="127">
        <f t="shared" si="7"/>
        <v>7574.6781086575593</v>
      </c>
      <c r="D28" s="127">
        <f t="shared" si="7"/>
        <v>7791.7637140401321</v>
      </c>
      <c r="E28" s="127">
        <f t="shared" si="7"/>
        <v>8015.2108875841786</v>
      </c>
      <c r="F28" s="127">
        <f t="shared" si="7"/>
        <v>8245.2044763345511</v>
      </c>
      <c r="G28" s="127">
        <f t="shared" si="7"/>
        <v>8482.034872747432</v>
      </c>
      <c r="H28" s="127">
        <f t="shared" si="7"/>
        <v>8713.1981810527013</v>
      </c>
      <c r="I28" s="127">
        <f t="shared" si="7"/>
        <v>8951.2963886071248</v>
      </c>
      <c r="J28" s="127">
        <f t="shared" si="7"/>
        <v>9196.5375423881833</v>
      </c>
      <c r="K28" s="127">
        <f t="shared" si="7"/>
        <v>9449.1359307826733</v>
      </c>
      <c r="L28" s="127">
        <f t="shared" si="7"/>
        <v>9709.3122708289993</v>
      </c>
      <c r="M28" s="127">
        <f t="shared" si="7"/>
        <v>9977.2939010767113</v>
      </c>
      <c r="N28" s="127">
        <f t="shared" si="7"/>
        <v>10253.314980231857</v>
      </c>
      <c r="O28" s="127">
        <f t="shared" si="7"/>
        <v>10537.616691761659</v>
      </c>
      <c r="P28" s="127">
        <f t="shared" si="7"/>
        <v>10830.447454637355</v>
      </c>
      <c r="Q28" s="127">
        <f t="shared" si="7"/>
        <v>11132.063140399317</v>
      </c>
      <c r="R28" s="127">
        <f t="shared" si="7"/>
        <v>11442.727296734143</v>
      </c>
      <c r="S28" s="127">
        <f t="shared" si="7"/>
        <v>11762.711377759013</v>
      </c>
      <c r="T28" s="127">
        <f t="shared" si="7"/>
        <v>12092.294981214627</v>
      </c>
      <c r="U28" s="127">
        <f t="shared" si="7"/>
        <v>12431.766092773911</v>
      </c>
      <c r="W28" s="91">
        <f t="shared" si="5"/>
        <v>194025.0285291842</v>
      </c>
    </row>
    <row r="29" spans="1:51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1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1" s="57" customFormat="1" ht="18.75" customHeight="1">
      <c r="A31" s="1" t="s">
        <v>63</v>
      </c>
      <c r="B31" s="120">
        <f t="shared" ref="B31:U31" si="8">B19-B28</f>
        <v>39284.948495415119</v>
      </c>
      <c r="C31" s="120">
        <f t="shared" si="8"/>
        <v>39289.00429796605</v>
      </c>
      <c r="D31" s="120">
        <f t="shared" si="8"/>
        <v>39217.568274366189</v>
      </c>
      <c r="E31" s="120">
        <f t="shared" si="8"/>
        <v>46157.255132765989</v>
      </c>
      <c r="F31" s="120">
        <f t="shared" si="8"/>
        <v>48388.525740368466</v>
      </c>
      <c r="G31" s="120">
        <f t="shared" si="8"/>
        <v>49340.971177824511</v>
      </c>
      <c r="H31" s="120">
        <f t="shared" si="8"/>
        <v>50324.64400711601</v>
      </c>
      <c r="I31" s="120">
        <f t="shared" si="8"/>
        <v>51327.342229567643</v>
      </c>
      <c r="J31" s="120">
        <f t="shared" si="8"/>
        <v>52349.425260520307</v>
      </c>
      <c r="K31" s="120">
        <f t="shared" si="8"/>
        <v>53391.25903757388</v>
      </c>
      <c r="L31" s="120">
        <f t="shared" si="8"/>
        <v>54424.942242523728</v>
      </c>
      <c r="M31" s="120">
        <f t="shared" si="8"/>
        <v>55478.002184915778</v>
      </c>
      <c r="N31" s="120">
        <f t="shared" si="8"/>
        <v>56550.791406926255</v>
      </c>
      <c r="O31" s="120">
        <f t="shared" si="8"/>
        <v>57643.668528784598</v>
      </c>
      <c r="P31" s="120">
        <f t="shared" si="8"/>
        <v>58756.998342664723</v>
      </c>
      <c r="Q31" s="120">
        <f t="shared" si="8"/>
        <v>59621.164578582175</v>
      </c>
      <c r="R31" s="120">
        <f t="shared" si="8"/>
        <v>60497.069578276045</v>
      </c>
      <c r="S31" s="120">
        <f t="shared" si="8"/>
        <v>61384.847261735165</v>
      </c>
      <c r="T31" s="120">
        <f t="shared" si="8"/>
        <v>62284.632209067058</v>
      </c>
      <c r="U31" s="120">
        <f t="shared" si="8"/>
        <v>63196.559628649578</v>
      </c>
      <c r="W31" s="91">
        <f>SUM(B31:U31)</f>
        <v>1058909.6196156093</v>
      </c>
    </row>
    <row r="32" spans="1:51" s="57" customFormat="1" ht="18.75" customHeigh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Depreciation!C53</f>
        <v>11019.158120067157</v>
      </c>
      <c r="C33" s="127">
        <f>Depreciation!D53</f>
        <v>11019.158120067157</v>
      </c>
      <c r="D33" s="127">
        <f>Depreciation!E53</f>
        <v>11019.158120067157</v>
      </c>
      <c r="E33" s="127">
        <f>Depreciation!F53</f>
        <v>11019.158120067157</v>
      </c>
      <c r="F33" s="127">
        <f>Depreciation!G53</f>
        <v>11019.158120067157</v>
      </c>
      <c r="G33" s="127">
        <f>Depreciation!H53</f>
        <v>11019.158120067157</v>
      </c>
      <c r="H33" s="127">
        <f>Depreciation!I53</f>
        <v>11019.158120067157</v>
      </c>
      <c r="I33" s="127">
        <f>Depreciation!J53</f>
        <v>11019.158120067157</v>
      </c>
      <c r="J33" s="127">
        <f>Depreciation!K53</f>
        <v>11019.158120067157</v>
      </c>
      <c r="K33" s="127">
        <f>Depreciation!L53</f>
        <v>11019.158120067157</v>
      </c>
      <c r="L33" s="127">
        <f>Depreciation!M53</f>
        <v>11019.158120067157</v>
      </c>
      <c r="M33" s="127">
        <f>Depreciation!N53</f>
        <v>11019.158120067157</v>
      </c>
      <c r="N33" s="127">
        <f>Depreciation!O53</f>
        <v>11019.158120067157</v>
      </c>
      <c r="O33" s="127">
        <f>Depreciation!P53</f>
        <v>11019.158120067157</v>
      </c>
      <c r="P33" s="127">
        <f>Depreciation!Q53</f>
        <v>11019.158120067157</v>
      </c>
      <c r="Q33" s="127">
        <f>Depreciation!R53</f>
        <v>11019.158120067157</v>
      </c>
      <c r="R33" s="127">
        <f>Depreciation!S53</f>
        <v>11019.158120067157</v>
      </c>
      <c r="S33" s="127">
        <f>Depreciation!T53</f>
        <v>11019.158120067157</v>
      </c>
      <c r="T33" s="127">
        <f>Depreciation!U53</f>
        <v>11019.158120067157</v>
      </c>
      <c r="U33" s="127">
        <f>Depreciation!V53</f>
        <v>11019.158120067157</v>
      </c>
      <c r="W33" s="91">
        <f>SUM(B33:U33)</f>
        <v>220383.16240134306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9">B31-B33</f>
        <v>28265.790375347962</v>
      </c>
      <c r="C35" s="132">
        <f t="shared" si="9"/>
        <v>28269.846177898893</v>
      </c>
      <c r="D35" s="132">
        <f t="shared" si="9"/>
        <v>28198.410154299032</v>
      </c>
      <c r="E35" s="132">
        <f t="shared" si="9"/>
        <v>35138.097012698832</v>
      </c>
      <c r="F35" s="132">
        <f t="shared" si="9"/>
        <v>37369.367620301309</v>
      </c>
      <c r="G35" s="132">
        <f t="shared" si="9"/>
        <v>38321.813057757354</v>
      </c>
      <c r="H35" s="132">
        <f t="shared" si="9"/>
        <v>39305.485887048853</v>
      </c>
      <c r="I35" s="132">
        <f t="shared" si="9"/>
        <v>40308.184109500486</v>
      </c>
      <c r="J35" s="132">
        <f t="shared" si="9"/>
        <v>41330.26714045315</v>
      </c>
      <c r="K35" s="132">
        <f t="shared" si="9"/>
        <v>42372.100917506723</v>
      </c>
      <c r="L35" s="132">
        <f t="shared" si="9"/>
        <v>43405.784122456571</v>
      </c>
      <c r="M35" s="132">
        <f t="shared" si="9"/>
        <v>44458.844064848621</v>
      </c>
      <c r="N35" s="132">
        <f t="shared" si="9"/>
        <v>45531.633286859098</v>
      </c>
      <c r="O35" s="132">
        <f t="shared" si="9"/>
        <v>46624.51040871744</v>
      </c>
      <c r="P35" s="132">
        <f t="shared" si="9"/>
        <v>47737.840222597566</v>
      </c>
      <c r="Q35" s="132">
        <f t="shared" si="9"/>
        <v>48602.006458515018</v>
      </c>
      <c r="R35" s="132">
        <f t="shared" si="9"/>
        <v>49477.911458208888</v>
      </c>
      <c r="S35" s="132">
        <f t="shared" si="9"/>
        <v>50365.689141668008</v>
      </c>
      <c r="T35" s="132">
        <f t="shared" si="9"/>
        <v>51265.474088999901</v>
      </c>
      <c r="U35" s="132">
        <f t="shared" si="9"/>
        <v>52177.401508582421</v>
      </c>
      <c r="W35" s="91">
        <f>SUM(B35:U35)</f>
        <v>838526.45721426629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IS!B38*Allocation!$E$14</f>
        <v>17898.660959956007</v>
      </c>
      <c r="C37" s="127">
        <f>IS!C38*Allocation!$E$14</f>
        <v>17630.097914123908</v>
      </c>
      <c r="D37" s="127">
        <f>IS!D38*Allocation!$E$14</f>
        <v>17251.280656046682</v>
      </c>
      <c r="E37" s="127">
        <f>IS!E38*Allocation!$E$14</f>
        <v>16953.910372010145</v>
      </c>
      <c r="F37" s="127">
        <f>IS!F38*Allocation!$E$14</f>
        <v>16427.798973677371</v>
      </c>
      <c r="G37" s="127">
        <f>IS!G38*Allocation!$E$14</f>
        <v>15804.22083599118</v>
      </c>
      <c r="H37" s="127">
        <f>IS!H38*Allocation!$E$14</f>
        <v>15103.402967915445</v>
      </c>
      <c r="I37" s="127">
        <f>IS!I38*Allocation!$E$14</f>
        <v>14370.218805763445</v>
      </c>
      <c r="J37" s="127">
        <f>IS!J38*Allocation!$E$14</f>
        <v>13459.489685637125</v>
      </c>
      <c r="K37" s="127">
        <f>IS!K38*Allocation!$E$14</f>
        <v>12450.333975706642</v>
      </c>
      <c r="L37" s="127">
        <f>IS!L38*Allocation!$E$14</f>
        <v>11388.471611412735</v>
      </c>
      <c r="M37" s="127">
        <f>IS!M38*Allocation!$E$14</f>
        <v>10230.68836317049</v>
      </c>
      <c r="N37" s="127">
        <f>IS!N38*Allocation!$E$14</f>
        <v>9015.3654167845198</v>
      </c>
      <c r="O37" s="127">
        <f>IS!O38*Allocation!$E$14</f>
        <v>7828.8123194704112</v>
      </c>
      <c r="P37" s="127">
        <f>IS!P38*Allocation!$E$14</f>
        <v>6627.305402299743</v>
      </c>
      <c r="Q37" s="127">
        <f>IS!Q38*Allocation!$E$14</f>
        <v>5382.0748162006494</v>
      </c>
      <c r="R37" s="127">
        <f>IS!R38*Allocation!$E$14</f>
        <v>4061.2624232178496</v>
      </c>
      <c r="S37" s="127">
        <f>IS!S38*Allocation!$E$14</f>
        <v>2815.8692955985766</v>
      </c>
      <c r="T37" s="127">
        <f>IS!T38*Allocation!$E$14</f>
        <v>1747.971508015879</v>
      </c>
      <c r="U37" s="127">
        <f>IS!U38*Allocation!$E$14</f>
        <v>682.67438475606207</v>
      </c>
      <c r="W37" s="91">
        <f>SUM(B37:U37)</f>
        <v>217129.91068775486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10">B35-B37</f>
        <v>10367.129415391955</v>
      </c>
      <c r="C39" s="132">
        <f t="shared" si="10"/>
        <v>10639.748263774985</v>
      </c>
      <c r="D39" s="132">
        <f t="shared" si="10"/>
        <v>10947.12949825235</v>
      </c>
      <c r="E39" s="132">
        <f t="shared" si="10"/>
        <v>18184.186640688687</v>
      </c>
      <c r="F39" s="132">
        <f t="shared" si="10"/>
        <v>20941.568646623939</v>
      </c>
      <c r="G39" s="132">
        <f t="shared" si="10"/>
        <v>22517.592221766172</v>
      </c>
      <c r="H39" s="132">
        <f t="shared" si="10"/>
        <v>24202.082919133409</v>
      </c>
      <c r="I39" s="132">
        <f t="shared" si="10"/>
        <v>25937.965303737041</v>
      </c>
      <c r="J39" s="132">
        <f t="shared" si="10"/>
        <v>27870.777454816023</v>
      </c>
      <c r="K39" s="132">
        <f t="shared" si="10"/>
        <v>29921.766941800081</v>
      </c>
      <c r="L39" s="132">
        <f t="shared" si="10"/>
        <v>32017.312511043834</v>
      </c>
      <c r="M39" s="132">
        <f t="shared" si="10"/>
        <v>34228.15570167813</v>
      </c>
      <c r="N39" s="132">
        <f t="shared" si="10"/>
        <v>36516.267870074575</v>
      </c>
      <c r="O39" s="132">
        <f t="shared" si="10"/>
        <v>38795.698089247031</v>
      </c>
      <c r="P39" s="132">
        <f t="shared" si="10"/>
        <v>41110.53482029782</v>
      </c>
      <c r="Q39" s="132">
        <f t="shared" si="10"/>
        <v>43219.931642314368</v>
      </c>
      <c r="R39" s="132">
        <f t="shared" si="10"/>
        <v>45416.649034991038</v>
      </c>
      <c r="S39" s="132">
        <f t="shared" si="10"/>
        <v>47549.819846069433</v>
      </c>
      <c r="T39" s="132">
        <f t="shared" si="10"/>
        <v>49517.502580984023</v>
      </c>
      <c r="U39" s="132">
        <f t="shared" si="10"/>
        <v>51494.727123826357</v>
      </c>
      <c r="W39" s="91">
        <f>SUM(B39:U39)</f>
        <v>621396.5465265112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B39*-Assumptions!$I$38</f>
        <v>-744.35989202514247</v>
      </c>
      <c r="C41" s="127">
        <f>C39*-Assumptions!$I$38</f>
        <v>-763.93392533904398</v>
      </c>
      <c r="D41" s="127">
        <f>D39*-Assumptions!$I$38</f>
        <v>-786.00389797451874</v>
      </c>
      <c r="E41" s="127">
        <f>E39*-Assumptions!$I$38</f>
        <v>-1305.6246008014477</v>
      </c>
      <c r="F41" s="127">
        <f>F39*-Assumptions!$I$38</f>
        <v>-1503.6046288275988</v>
      </c>
      <c r="G41" s="127">
        <f>G39*-Assumptions!$I$38</f>
        <v>-1616.7631215228112</v>
      </c>
      <c r="H41" s="127">
        <f>H39*-Assumptions!$I$38</f>
        <v>-1737.7095535937788</v>
      </c>
      <c r="I41" s="127">
        <f>I39*-Assumptions!$I$38</f>
        <v>-1862.3459088083196</v>
      </c>
      <c r="J41" s="127">
        <f>J39*-Assumptions!$I$38</f>
        <v>-2001.1218212557906</v>
      </c>
      <c r="K41" s="127">
        <f>K39*-Assumptions!$I$38</f>
        <v>-2148.382866421246</v>
      </c>
      <c r="L41" s="127">
        <f>L39*-Assumptions!$I$38</f>
        <v>-2298.8430382929473</v>
      </c>
      <c r="M41" s="127">
        <f>M39*-Assumptions!$I$38</f>
        <v>-2457.58157938049</v>
      </c>
      <c r="N41" s="127">
        <f>N39*-Assumptions!$I$38</f>
        <v>-2621.8680330713546</v>
      </c>
      <c r="O41" s="127">
        <f>O39*-Assumptions!$I$38</f>
        <v>-2785.5311228079368</v>
      </c>
      <c r="P41" s="127">
        <f>P39*-Assumptions!$I$38</f>
        <v>-2951.7364000973835</v>
      </c>
      <c r="Q41" s="127">
        <f>Q39*-Assumptions!$I$38</f>
        <v>-3103.1910919181719</v>
      </c>
      <c r="R41" s="127">
        <f>R39*-Assumptions!$I$38</f>
        <v>-3260.9154007123566</v>
      </c>
      <c r="S41" s="127">
        <f>S39*-Assumptions!$I$38</f>
        <v>-3414.0770649477854</v>
      </c>
      <c r="T41" s="127">
        <f>T39*-Assumptions!$I$38</f>
        <v>-3555.3566853146531</v>
      </c>
      <c r="U41" s="127">
        <f>U39*-Assumptions!$I$38</f>
        <v>-3697.3214074907323</v>
      </c>
      <c r="W41" s="91">
        <f>SUM(B41:U41)</f>
        <v>-44616.272040603508</v>
      </c>
    </row>
    <row r="42" spans="1:23">
      <c r="A42" s="3" t="s">
        <v>69</v>
      </c>
      <c r="B42" s="121">
        <f>(B39+B41)*-Assumptions!$I$37</f>
        <v>-3367.9693331783842</v>
      </c>
      <c r="C42" s="121">
        <f>(C39+C41)*-Assumptions!$I$37</f>
        <v>-3456.5350184525792</v>
      </c>
      <c r="D42" s="121">
        <f>(D39+D41)*-Assumptions!$I$37</f>
        <v>-3556.3939600972408</v>
      </c>
      <c r="E42" s="121">
        <f>(E39+E41)*-Assumptions!$I$37</f>
        <v>-5907.4967139605342</v>
      </c>
      <c r="F42" s="121">
        <f>(F39+F41)*-Assumptions!$I$37</f>
        <v>-6803.2874062287192</v>
      </c>
      <c r="G42" s="121">
        <f>(G39+G41)*-Assumptions!$I$37</f>
        <v>-7315.2901850851758</v>
      </c>
      <c r="H42" s="121">
        <f>(H39+H41)*-Assumptions!$I$37</f>
        <v>-7862.5306779388693</v>
      </c>
      <c r="I42" s="121">
        <f>(I39+I41)*-Assumptions!$I$37</f>
        <v>-8426.4667882250524</v>
      </c>
      <c r="J42" s="121">
        <f>(J39+J41)*-Assumptions!$I$37</f>
        <v>-9054.3794717460805</v>
      </c>
      <c r="K42" s="121">
        <f>(K39+K41)*-Assumptions!$I$37</f>
        <v>-9720.6844263825915</v>
      </c>
      <c r="L42" s="121">
        <f>(L39+L41)*-Assumptions!$I$37</f>
        <v>-10401.46431546281</v>
      </c>
      <c r="M42" s="121">
        <f>(M39+M41)*-Assumptions!$I$37</f>
        <v>-11119.700942804173</v>
      </c>
      <c r="N42" s="121">
        <f>(N39+N41)*-Assumptions!$I$37</f>
        <v>-11863.039942951127</v>
      </c>
      <c r="O42" s="121">
        <f>(O39+O41)*-Assumptions!$I$37</f>
        <v>-12603.558438253682</v>
      </c>
      <c r="P42" s="121">
        <f>(P39+P41)*-Assumptions!$I$37</f>
        <v>-13355.579447070153</v>
      </c>
      <c r="Q42" s="121">
        <f>(Q39+Q41)*-Assumptions!$I$37</f>
        <v>-14040.859192638667</v>
      </c>
      <c r="R42" s="121">
        <f>(R39+R41)*-Assumptions!$I$37</f>
        <v>-14754.506771997538</v>
      </c>
      <c r="S42" s="121">
        <f>(S39+S41)*-Assumptions!$I$37</f>
        <v>-15447.509973392576</v>
      </c>
      <c r="T42" s="121">
        <f>(T39+T41)*-Assumptions!$I$37</f>
        <v>-16086.751063484278</v>
      </c>
      <c r="U42" s="121">
        <f>(U39+U41)*-Assumptions!$I$37</f>
        <v>-16729.092000717468</v>
      </c>
      <c r="W42" s="91">
        <f>SUM(B42:U42)</f>
        <v>-201873.09607006775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1">SUM(B39:B42)</f>
        <v>6254.800190188429</v>
      </c>
      <c r="C44" s="134">
        <f t="shared" si="11"/>
        <v>6419.2793199833613</v>
      </c>
      <c r="D44" s="134">
        <f t="shared" si="11"/>
        <v>6604.7316401805911</v>
      </c>
      <c r="E44" s="134">
        <f t="shared" si="11"/>
        <v>10971.065325926707</v>
      </c>
      <c r="F44" s="134">
        <f t="shared" si="11"/>
        <v>12634.676611567622</v>
      </c>
      <c r="G44" s="134">
        <f t="shared" si="11"/>
        <v>13585.538915158186</v>
      </c>
      <c r="H44" s="134">
        <f t="shared" si="11"/>
        <v>14601.842687600758</v>
      </c>
      <c r="I44" s="134">
        <f t="shared" si="11"/>
        <v>15649.15260670367</v>
      </c>
      <c r="J44" s="134">
        <f t="shared" si="11"/>
        <v>16815.276161814152</v>
      </c>
      <c r="K44" s="134">
        <f t="shared" si="11"/>
        <v>18052.699648996244</v>
      </c>
      <c r="L44" s="134">
        <f t="shared" si="11"/>
        <v>19317.005157288077</v>
      </c>
      <c r="M44" s="134">
        <f t="shared" si="11"/>
        <v>20650.873179493465</v>
      </c>
      <c r="N44" s="134">
        <f t="shared" si="11"/>
        <v>22031.359894052093</v>
      </c>
      <c r="O44" s="134">
        <f t="shared" si="11"/>
        <v>23406.60852818541</v>
      </c>
      <c r="P44" s="134">
        <f t="shared" si="11"/>
        <v>24803.218973130286</v>
      </c>
      <c r="Q44" s="134">
        <f t="shared" si="11"/>
        <v>26075.881357757527</v>
      </c>
      <c r="R44" s="134">
        <f t="shared" si="11"/>
        <v>27401.226862281143</v>
      </c>
      <c r="S44" s="134">
        <f t="shared" si="11"/>
        <v>28688.232807729073</v>
      </c>
      <c r="T44" s="134">
        <f t="shared" si="11"/>
        <v>29875.394832185091</v>
      </c>
      <c r="U44" s="134">
        <f t="shared" si="11"/>
        <v>31068.313715618158</v>
      </c>
      <c r="W44" s="91">
        <f>SUM(B44:U44)</f>
        <v>374907.17841584008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 s="62" customFormat="1" ht="9" outlineLevel="1">
      <c r="A46" s="4"/>
      <c r="B46" s="60"/>
      <c r="C46" s="61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</row>
    <row r="47" spans="1:23" outlineLevel="1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212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1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1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1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1" ht="13.5" outlineLevel="1" thickBot="1">
      <c r="A52" s="194" t="s">
        <v>56</v>
      </c>
      <c r="B52" s="8">
        <v>2001</v>
      </c>
      <c r="C52" s="8">
        <f>B52+1</f>
        <v>2002</v>
      </c>
      <c r="D52" s="8">
        <f t="shared" ref="D52:U52" si="12">C52+1</f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</row>
    <row r="53" spans="1:51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23"/>
    </row>
    <row r="54" spans="1:51" outlineLevel="1">
      <c r="A54" s="13" t="s">
        <v>270</v>
      </c>
      <c r="B54" s="67">
        <f>B31-B12</f>
        <v>26820.821007433296</v>
      </c>
      <c r="C54" s="67">
        <f>C31-C12</f>
        <v>26824.876809984227</v>
      </c>
      <c r="D54" s="67">
        <f>D31-D12</f>
        <v>26753.440786384366</v>
      </c>
      <c r="E54" s="67">
        <f t="shared" ref="E54:U54" si="13">E31</f>
        <v>46157.255132765989</v>
      </c>
      <c r="F54" s="67">
        <f t="shared" si="13"/>
        <v>48388.525740368466</v>
      </c>
      <c r="G54" s="67">
        <f t="shared" si="13"/>
        <v>49340.971177824511</v>
      </c>
      <c r="H54" s="67">
        <f t="shared" si="13"/>
        <v>50324.64400711601</v>
      </c>
      <c r="I54" s="67">
        <f t="shared" si="13"/>
        <v>51327.342229567643</v>
      </c>
      <c r="J54" s="67">
        <f t="shared" si="13"/>
        <v>52349.425260520307</v>
      </c>
      <c r="K54" s="67">
        <f t="shared" si="13"/>
        <v>53391.25903757388</v>
      </c>
      <c r="L54" s="67">
        <f t="shared" si="13"/>
        <v>54424.942242523728</v>
      </c>
      <c r="M54" s="67">
        <f t="shared" si="13"/>
        <v>55478.002184915778</v>
      </c>
      <c r="N54" s="67">
        <f t="shared" si="13"/>
        <v>56550.791406926255</v>
      </c>
      <c r="O54" s="67">
        <f t="shared" si="13"/>
        <v>57643.668528784598</v>
      </c>
      <c r="P54" s="67">
        <f t="shared" si="13"/>
        <v>58756.998342664723</v>
      </c>
      <c r="Q54" s="67">
        <f t="shared" si="13"/>
        <v>59621.164578582175</v>
      </c>
      <c r="R54" s="67">
        <f t="shared" si="13"/>
        <v>60497.069578276045</v>
      </c>
      <c r="S54" s="67">
        <f t="shared" si="13"/>
        <v>61384.847261735165</v>
      </c>
      <c r="T54" s="67">
        <f t="shared" si="13"/>
        <v>62284.632209067058</v>
      </c>
      <c r="U54" s="67">
        <f t="shared" si="13"/>
        <v>63196.559628649578</v>
      </c>
      <c r="W54" s="400">
        <f>SUM(B54:U54)</f>
        <v>1021517.2371516638</v>
      </c>
    </row>
    <row r="55" spans="1:51">
      <c r="A55" s="13" t="s">
        <v>168</v>
      </c>
      <c r="B55" s="67">
        <f>B26</f>
        <v>572</v>
      </c>
      <c r="C55" s="67">
        <f t="shared" ref="C55:U55" si="14">C26</f>
        <v>583.4</v>
      </c>
      <c r="D55" s="67">
        <f t="shared" si="14"/>
        <v>595.1</v>
      </c>
      <c r="E55" s="67">
        <f t="shared" si="14"/>
        <v>607</v>
      </c>
      <c r="F55" s="67">
        <f t="shared" si="14"/>
        <v>619.1</v>
      </c>
      <c r="G55" s="67">
        <f t="shared" si="14"/>
        <v>631.5</v>
      </c>
      <c r="H55" s="67">
        <f t="shared" si="14"/>
        <v>631.5</v>
      </c>
      <c r="I55" s="67">
        <f t="shared" si="14"/>
        <v>631.5</v>
      </c>
      <c r="J55" s="67">
        <f t="shared" si="14"/>
        <v>631.5</v>
      </c>
      <c r="K55" s="67">
        <f t="shared" si="14"/>
        <v>631.5</v>
      </c>
      <c r="L55" s="67">
        <f t="shared" si="14"/>
        <v>631.5</v>
      </c>
      <c r="M55" s="67">
        <f t="shared" si="14"/>
        <v>631.5</v>
      </c>
      <c r="N55" s="67">
        <f t="shared" si="14"/>
        <v>631.5</v>
      </c>
      <c r="O55" s="67">
        <f t="shared" si="14"/>
        <v>631.5</v>
      </c>
      <c r="P55" s="67">
        <f t="shared" si="14"/>
        <v>631.5</v>
      </c>
      <c r="Q55" s="67">
        <f t="shared" si="14"/>
        <v>631.5</v>
      </c>
      <c r="R55" s="67">
        <f t="shared" si="14"/>
        <v>631.5</v>
      </c>
      <c r="S55" s="67">
        <f t="shared" si="14"/>
        <v>631.5</v>
      </c>
      <c r="T55" s="67">
        <f t="shared" si="14"/>
        <v>631.5</v>
      </c>
      <c r="U55" s="67">
        <f t="shared" si="14"/>
        <v>631.5</v>
      </c>
      <c r="W55" s="400">
        <f>SUM(B55:U55)</f>
        <v>12449.1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</row>
    <row r="56" spans="1:51">
      <c r="A56" s="13" t="s">
        <v>169</v>
      </c>
      <c r="B56" s="462">
        <v>-333.7</v>
      </c>
      <c r="C56" s="67">
        <f>-B55</f>
        <v>-572</v>
      </c>
      <c r="D56" s="67">
        <f t="shared" ref="D56:U56" si="15">-C55</f>
        <v>-583.4</v>
      </c>
      <c r="E56" s="67">
        <f t="shared" si="15"/>
        <v>-595.1</v>
      </c>
      <c r="F56" s="67">
        <f t="shared" si="15"/>
        <v>-607</v>
      </c>
      <c r="G56" s="67">
        <f t="shared" si="15"/>
        <v>-619.1</v>
      </c>
      <c r="H56" s="67">
        <f t="shared" si="15"/>
        <v>-631.5</v>
      </c>
      <c r="I56" s="67">
        <f t="shared" si="15"/>
        <v>-631.5</v>
      </c>
      <c r="J56" s="67">
        <f t="shared" si="15"/>
        <v>-631.5</v>
      </c>
      <c r="K56" s="67">
        <f t="shared" si="15"/>
        <v>-631.5</v>
      </c>
      <c r="L56" s="67">
        <f t="shared" si="15"/>
        <v>-631.5</v>
      </c>
      <c r="M56" s="67">
        <f t="shared" si="15"/>
        <v>-631.5</v>
      </c>
      <c r="N56" s="67">
        <f t="shared" si="15"/>
        <v>-631.5</v>
      </c>
      <c r="O56" s="67">
        <f t="shared" si="15"/>
        <v>-631.5</v>
      </c>
      <c r="P56" s="67">
        <f t="shared" si="15"/>
        <v>-631.5</v>
      </c>
      <c r="Q56" s="67">
        <f t="shared" si="15"/>
        <v>-631.5</v>
      </c>
      <c r="R56" s="67">
        <f t="shared" si="15"/>
        <v>-631.5</v>
      </c>
      <c r="S56" s="67">
        <f t="shared" si="15"/>
        <v>-631.5</v>
      </c>
      <c r="T56" s="67">
        <f t="shared" si="15"/>
        <v>-631.5</v>
      </c>
      <c r="U56" s="67">
        <f t="shared" si="15"/>
        <v>-631.5</v>
      </c>
      <c r="W56" s="400">
        <f>SUM(B56:U56)</f>
        <v>-12151.3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</row>
    <row r="57" spans="1:51" outlineLevel="1">
      <c r="A57" s="13" t="s">
        <v>71</v>
      </c>
      <c r="B57" s="398">
        <f>-Debt!B77*Allocation!$E$14</f>
        <v>-21358.091406606876</v>
      </c>
      <c r="C57" s="398">
        <f>-Debt!C77*Allocation!$E$14</f>
        <v>-21340.616054483311</v>
      </c>
      <c r="D57" s="398">
        <f>-Debt!D77*Allocation!$E$14</f>
        <v>-21240.785122748894</v>
      </c>
      <c r="E57" s="398">
        <f>-Debt!E77*Allocation!$E$14</f>
        <v>-20937.835112185501</v>
      </c>
      <c r="F57" s="398">
        <f>-Debt!F77*Allocation!$E$14</f>
        <v>-21911.554204271684</v>
      </c>
      <c r="G57" s="398">
        <f>-Debt!G77*Allocation!$E$14</f>
        <v>-22037.891311794971</v>
      </c>
      <c r="H57" s="398">
        <f>-Debt!H77*Allocation!$E$14</f>
        <v>-21899.509877626344</v>
      </c>
      <c r="I57" s="398">
        <f>-Debt!I77*Allocation!$E$14</f>
        <v>-22103.719771986191</v>
      </c>
      <c r="J57" s="398">
        <f>-Debt!J77*Allocation!$E$14</f>
        <v>-21942.905897069351</v>
      </c>
      <c r="K57" s="398">
        <f>-Debt!K77*Allocation!$E$14</f>
        <v>-22195.884327513748</v>
      </c>
      <c r="L57" s="398">
        <f>-Debt!L77*Allocation!$E$14</f>
        <v>-21989.952012439593</v>
      </c>
      <c r="M57" s="398">
        <f>-Debt!M77*Allocation!$E$14</f>
        <v>-20832.168764197348</v>
      </c>
      <c r="N57" s="398">
        <f>-Debt!N77*Allocation!$E$14</f>
        <v>-19616.845817811376</v>
      </c>
      <c r="O57" s="398">
        <f>-Debt!O77*Allocation!$E$14</f>
        <v>-18430.292720497269</v>
      </c>
      <c r="P57" s="398">
        <f>-Debt!P77*Allocation!$E$14</f>
        <v>-17758.859823377945</v>
      </c>
      <c r="Q57" s="398">
        <f>-Debt!Q77*Allocation!$E$14</f>
        <v>-17043.703257330191</v>
      </c>
      <c r="R57" s="398">
        <f>-Debt!R77*Allocation!$E$14</f>
        <v>-15722.890864347395</v>
      </c>
      <c r="S57" s="398">
        <f>-Debt!S77*Allocation!$E$14</f>
        <v>-12357.201656522748</v>
      </c>
      <c r="T57" s="398">
        <f>-Debt!T77*Allocation!$E$14</f>
        <v>-11289.303868940051</v>
      </c>
      <c r="U57" s="398">
        <f>-Debt!U77*Allocation!$E$14</f>
        <v>-9163.858705577557</v>
      </c>
      <c r="W57" s="400">
        <f>SUM(B57:U57)</f>
        <v>-381173.87057732831</v>
      </c>
    </row>
    <row r="58" spans="1:51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1" s="57" customFormat="1" outlineLevel="1">
      <c r="A59" s="12" t="s">
        <v>72</v>
      </c>
      <c r="B59" s="136">
        <f t="shared" ref="B59:U59" si="16">SUM(B54:B57)</f>
        <v>5701.0296008264195</v>
      </c>
      <c r="C59" s="136">
        <f t="shared" si="16"/>
        <v>5495.6607555009177</v>
      </c>
      <c r="D59" s="136">
        <f t="shared" si="16"/>
        <v>5524.3556636354697</v>
      </c>
      <c r="E59" s="136">
        <f t="shared" si="16"/>
        <v>25231.32002058049</v>
      </c>
      <c r="F59" s="136">
        <f t="shared" si="16"/>
        <v>26489.071536096781</v>
      </c>
      <c r="G59" s="136">
        <f t="shared" si="16"/>
        <v>27315.479866029542</v>
      </c>
      <c r="H59" s="136">
        <f t="shared" si="16"/>
        <v>28425.134129489667</v>
      </c>
      <c r="I59" s="136">
        <f t="shared" si="16"/>
        <v>29223.622457581452</v>
      </c>
      <c r="J59" s="136">
        <f t="shared" si="16"/>
        <v>30406.519363450956</v>
      </c>
      <c r="K59" s="136">
        <f t="shared" si="16"/>
        <v>31195.374710060132</v>
      </c>
      <c r="L59" s="136">
        <f t="shared" si="16"/>
        <v>32434.990230084135</v>
      </c>
      <c r="M59" s="136">
        <f t="shared" si="16"/>
        <v>34645.833420718431</v>
      </c>
      <c r="N59" s="136">
        <f t="shared" si="16"/>
        <v>36933.945589114883</v>
      </c>
      <c r="O59" s="136">
        <f t="shared" si="16"/>
        <v>39213.375808287325</v>
      </c>
      <c r="P59" s="136">
        <f t="shared" si="16"/>
        <v>40998.138519286775</v>
      </c>
      <c r="Q59" s="136">
        <f t="shared" si="16"/>
        <v>42577.461321251983</v>
      </c>
      <c r="R59" s="136">
        <f t="shared" si="16"/>
        <v>44774.178713928646</v>
      </c>
      <c r="S59" s="136">
        <f t="shared" si="16"/>
        <v>49027.645605212419</v>
      </c>
      <c r="T59" s="136">
        <f t="shared" si="16"/>
        <v>50995.328340127009</v>
      </c>
      <c r="U59" s="136">
        <f t="shared" si="16"/>
        <v>54032.700923072021</v>
      </c>
      <c r="W59" s="400">
        <f>SUM(B59:U59)</f>
        <v>640641.16657433542</v>
      </c>
    </row>
    <row r="60" spans="1:51" outlineLevel="1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1" ht="15" outlineLevel="1">
      <c r="A61" s="13" t="s">
        <v>99</v>
      </c>
      <c r="B61" s="223">
        <f>-B97</f>
        <v>0</v>
      </c>
      <c r="C61" s="223">
        <f t="shared" ref="C61:U61" si="17">-C97</f>
        <v>0</v>
      </c>
      <c r="D61" s="223">
        <f t="shared" si="17"/>
        <v>0</v>
      </c>
      <c r="E61" s="223">
        <f t="shared" si="17"/>
        <v>0</v>
      </c>
      <c r="F61" s="223">
        <f t="shared" si="17"/>
        <v>0</v>
      </c>
      <c r="G61" s="223">
        <f t="shared" si="17"/>
        <v>0</v>
      </c>
      <c r="H61" s="223">
        <f t="shared" si="17"/>
        <v>0</v>
      </c>
      <c r="I61" s="223">
        <f t="shared" si="17"/>
        <v>-766.16517024765517</v>
      </c>
      <c r="J61" s="223">
        <f t="shared" si="17"/>
        <v>-1394.7203972627619</v>
      </c>
      <c r="K61" s="223">
        <f t="shared" si="17"/>
        <v>-1539.6126678909056</v>
      </c>
      <c r="L61" s="223">
        <f t="shared" si="17"/>
        <v>-1692.4416142999187</v>
      </c>
      <c r="M61" s="223">
        <f t="shared" si="17"/>
        <v>-1848.8113808501496</v>
      </c>
      <c r="N61" s="223">
        <f t="shared" si="17"/>
        <v>-2015.466609078326</v>
      </c>
      <c r="O61" s="223">
        <f t="shared" si="17"/>
        <v>-2176.7609242775966</v>
      </c>
      <c r="P61" s="223">
        <f t="shared" si="17"/>
        <v>-2345.3349761043551</v>
      </c>
      <c r="Q61" s="223">
        <f t="shared" si="17"/>
        <v>-3195.5781564320682</v>
      </c>
      <c r="R61" s="223">
        <f t="shared" si="17"/>
        <v>-4052.0909537331786</v>
      </c>
      <c r="S61" s="223">
        <f t="shared" si="17"/>
        <v>-4205.2526179686074</v>
      </c>
      <c r="T61" s="223">
        <f t="shared" si="17"/>
        <v>-4346.5322383354751</v>
      </c>
      <c r="U61" s="223">
        <f t="shared" si="17"/>
        <v>-4488.4969605115548</v>
      </c>
      <c r="W61" s="400">
        <f>SUM(B61:U61)</f>
        <v>-34067.264666992553</v>
      </c>
    </row>
    <row r="62" spans="1:51" outlineLevel="1">
      <c r="A62" s="13" t="s">
        <v>100</v>
      </c>
      <c r="B62" s="128">
        <f>-Allocation!$E$14*Tax!B24</f>
        <v>0</v>
      </c>
      <c r="C62" s="128">
        <f>-Allocation!$E$14*Tax!C24</f>
        <v>0</v>
      </c>
      <c r="D62" s="128">
        <f>-Allocation!$E$14*Tax!D24</f>
        <v>0</v>
      </c>
      <c r="E62" s="128">
        <f>-Allocation!$E$14*Tax!E24</f>
        <v>0</v>
      </c>
      <c r="F62" s="128">
        <f>-Allocation!$E$14*Tax!F24</f>
        <v>0</v>
      </c>
      <c r="G62" s="128">
        <f>-Allocation!$E$14*Tax!G24</f>
        <v>0</v>
      </c>
      <c r="H62" s="128">
        <f>-Allocation!$E$14*Tax!H24</f>
        <v>-4706.0307326494558</v>
      </c>
      <c r="I62" s="128">
        <f>-Allocation!$E$14*Tax!I24</f>
        <v>-6455.7738782394345</v>
      </c>
      <c r="J62" s="128">
        <f>-Allocation!$E$14*Tax!J24</f>
        <v>-6955.6232780702712</v>
      </c>
      <c r="K62" s="128">
        <f>-Allocation!$E$14*Tax!K24</f>
        <v>-7473.5641334705397</v>
      </c>
      <c r="L62" s="128">
        <f>-Allocation!$E$14*Tax!L24</f>
        <v>-8155.2023487853257</v>
      </c>
      <c r="M62" s="128">
        <f>-Allocation!$E$14*Tax!M24</f>
        <v>-8868.1108442245168</v>
      </c>
      <c r="N62" s="128">
        <f>-Allocation!$E$14*Tax!N24</f>
        <v>-9587.4674245026054</v>
      </c>
      <c r="O62" s="128">
        <f>-Allocation!$E$14*Tax!O24</f>
        <v>-10290.063693827155</v>
      </c>
      <c r="P62" s="128">
        <f>-Allocation!$E$14*Tax!P24</f>
        <v>-10985.866986843674</v>
      </c>
      <c r="Q62" s="128">
        <f>-Allocation!$E$14*Tax!Q24</f>
        <v>-14546.668379222963</v>
      </c>
      <c r="R62" s="128">
        <f>-Allocation!$E$14*Tax!R24</f>
        <v>-18091.442609710259</v>
      </c>
      <c r="S62" s="128">
        <f>-Allocation!$E$14*Tax!S24</f>
        <v>-18765.439365012728</v>
      </c>
      <c r="T62" s="128">
        <f>-Allocation!$E$14*Tax!T24</f>
        <v>-19384.292070204345</v>
      </c>
      <c r="U62" s="128">
        <f>-Allocation!$E$14*Tax!U24</f>
        <v>-20006.058475317721</v>
      </c>
      <c r="W62" s="400">
        <f>SUM(B62:U62)</f>
        <v>-164271.60422008098</v>
      </c>
    </row>
    <row r="63" spans="1:51" outlineLevel="1">
      <c r="A63" s="1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W63" s="401"/>
    </row>
    <row r="64" spans="1:51" s="64" customFormat="1" ht="15.75" outlineLevel="1">
      <c r="A64" s="46" t="s">
        <v>73</v>
      </c>
      <c r="B64" s="137">
        <f t="shared" ref="B64:U64" si="18">B59+B62+B61</f>
        <v>5701.0296008264195</v>
      </c>
      <c r="C64" s="137">
        <f t="shared" si="18"/>
        <v>5495.6607555009177</v>
      </c>
      <c r="D64" s="137">
        <f t="shared" si="18"/>
        <v>5524.3556636354697</v>
      </c>
      <c r="E64" s="137">
        <f t="shared" si="18"/>
        <v>25231.32002058049</v>
      </c>
      <c r="F64" s="137">
        <f t="shared" si="18"/>
        <v>26489.071536096781</v>
      </c>
      <c r="G64" s="137">
        <f t="shared" si="18"/>
        <v>27315.479866029542</v>
      </c>
      <c r="H64" s="137">
        <f t="shared" si="18"/>
        <v>23719.103396840212</v>
      </c>
      <c r="I64" s="137">
        <f t="shared" si="18"/>
        <v>22001.683409094363</v>
      </c>
      <c r="J64" s="137">
        <f t="shared" si="18"/>
        <v>22056.175688117924</v>
      </c>
      <c r="K64" s="137">
        <f t="shared" si="18"/>
        <v>22182.197908698687</v>
      </c>
      <c r="L64" s="137">
        <f t="shared" si="18"/>
        <v>22587.346266998891</v>
      </c>
      <c r="M64" s="137">
        <f t="shared" si="18"/>
        <v>23928.911195643763</v>
      </c>
      <c r="N64" s="137">
        <f t="shared" si="18"/>
        <v>25331.011555533954</v>
      </c>
      <c r="O64" s="137">
        <f t="shared" si="18"/>
        <v>26746.55119018257</v>
      </c>
      <c r="P64" s="137">
        <f t="shared" si="18"/>
        <v>27666.936556338747</v>
      </c>
      <c r="Q64" s="137">
        <f t="shared" si="18"/>
        <v>24835.214785596952</v>
      </c>
      <c r="R64" s="137">
        <f t="shared" si="18"/>
        <v>22630.645150485208</v>
      </c>
      <c r="S64" s="137">
        <f t="shared" si="18"/>
        <v>26056.953622231085</v>
      </c>
      <c r="T64" s="137">
        <f t="shared" si="18"/>
        <v>27264.504031587188</v>
      </c>
      <c r="U64" s="137">
        <f t="shared" si="18"/>
        <v>29538.145487242749</v>
      </c>
      <c r="W64" s="400">
        <f>SUM(B64:U64)</f>
        <v>442302.29768726195</v>
      </c>
    </row>
    <row r="65" spans="1:252" outlineLevel="1">
      <c r="A65" s="68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252" outlineLevel="1">
      <c r="A66" s="6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</row>
    <row r="67" spans="1:252" outlineLevel="1">
      <c r="A67" s="70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52" ht="18.75" outlineLevel="1">
      <c r="A68" s="55" t="s">
        <v>219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52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52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52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52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52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52" outlineLevel="1">
      <c r="A74" s="225" t="s">
        <v>182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52" s="428" customFormat="1" ht="12" customHeight="1">
      <c r="A75" s="518"/>
      <c r="B75" s="424"/>
      <c r="C75" s="424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424"/>
      <c r="AA75" s="427"/>
      <c r="AB75" s="427"/>
      <c r="AC75" s="427"/>
      <c r="AD75" s="427"/>
      <c r="AE75" s="427"/>
      <c r="AF75" s="427"/>
      <c r="AG75" s="427"/>
      <c r="AH75" s="427"/>
      <c r="AI75" s="427"/>
      <c r="AJ75" s="427"/>
      <c r="AK75" s="427"/>
      <c r="AL75" s="427"/>
      <c r="AM75" s="427"/>
      <c r="AN75" s="427"/>
      <c r="AO75" s="427"/>
      <c r="AP75" s="427"/>
      <c r="AQ75" s="427"/>
      <c r="AR75" s="427"/>
      <c r="AS75" s="427"/>
      <c r="AT75" s="427"/>
      <c r="AU75" s="427"/>
      <c r="AV75" s="427"/>
      <c r="AW75" s="427"/>
      <c r="AX75" s="427"/>
      <c r="AY75" s="427"/>
      <c r="AZ75" s="427"/>
      <c r="BA75" s="427"/>
      <c r="BB75" s="427"/>
      <c r="BC75" s="427"/>
      <c r="BD75" s="427"/>
      <c r="BE75" s="427"/>
      <c r="BF75" s="427"/>
      <c r="BG75" s="427"/>
      <c r="BH75" s="427"/>
      <c r="BI75" s="427"/>
      <c r="BJ75" s="427"/>
      <c r="BK75" s="427"/>
      <c r="BL75" s="427"/>
      <c r="BM75" s="427"/>
      <c r="BN75" s="427"/>
      <c r="BO75" s="427"/>
      <c r="BP75" s="427"/>
      <c r="BQ75" s="427"/>
      <c r="BR75" s="427"/>
      <c r="BS75" s="427"/>
      <c r="BT75" s="427"/>
      <c r="BU75" s="427"/>
      <c r="BV75" s="427"/>
      <c r="BW75" s="427"/>
      <c r="BX75" s="427"/>
      <c r="BY75" s="427"/>
      <c r="BZ75" s="427"/>
      <c r="CA75" s="427"/>
      <c r="CB75" s="427"/>
      <c r="CC75" s="427"/>
      <c r="CD75" s="427"/>
      <c r="CE75" s="427"/>
      <c r="CF75" s="427"/>
      <c r="CG75" s="427"/>
      <c r="CH75" s="427"/>
      <c r="CI75" s="427"/>
      <c r="CJ75" s="427"/>
      <c r="CK75" s="427"/>
      <c r="CL75" s="427"/>
      <c r="CM75" s="427"/>
      <c r="CN75" s="427"/>
      <c r="CO75" s="427"/>
      <c r="CP75" s="427"/>
      <c r="CQ75" s="427"/>
      <c r="CR75" s="427"/>
      <c r="CS75" s="427"/>
      <c r="CT75" s="427"/>
      <c r="CU75" s="427"/>
      <c r="CV75" s="427"/>
      <c r="CW75" s="427"/>
      <c r="CX75" s="427"/>
      <c r="CY75" s="427"/>
      <c r="CZ75" s="427"/>
      <c r="DA75" s="427"/>
      <c r="DB75" s="427"/>
      <c r="DC75" s="427"/>
      <c r="DD75" s="427"/>
      <c r="DE75" s="427"/>
      <c r="DF75" s="427"/>
      <c r="DG75" s="427"/>
      <c r="DH75" s="427"/>
      <c r="DI75" s="427"/>
      <c r="DJ75" s="427"/>
      <c r="DK75" s="427"/>
      <c r="DL75" s="427"/>
      <c r="DM75" s="427"/>
      <c r="DN75" s="427"/>
      <c r="DO75" s="427"/>
      <c r="DP75" s="427"/>
      <c r="DQ75" s="427"/>
      <c r="DR75" s="427"/>
      <c r="DS75" s="427"/>
      <c r="DT75" s="427"/>
      <c r="DU75" s="427"/>
      <c r="DV75" s="427"/>
      <c r="DW75" s="427"/>
      <c r="DX75" s="427"/>
      <c r="DY75" s="427"/>
      <c r="DZ75" s="427"/>
      <c r="EA75" s="427"/>
      <c r="EB75" s="427"/>
      <c r="EC75" s="427"/>
      <c r="ED75" s="427"/>
      <c r="EE75" s="427"/>
      <c r="EF75" s="427"/>
      <c r="EG75" s="427"/>
      <c r="EH75" s="427"/>
      <c r="EI75" s="427"/>
      <c r="EJ75" s="427"/>
      <c r="EK75" s="427"/>
      <c r="EL75" s="427"/>
      <c r="EM75" s="427"/>
      <c r="EN75" s="427"/>
      <c r="EO75" s="427"/>
      <c r="EP75" s="427"/>
      <c r="EQ75" s="427"/>
      <c r="ER75" s="427"/>
      <c r="ES75" s="427"/>
      <c r="ET75" s="427"/>
      <c r="EU75" s="427"/>
      <c r="EV75" s="427"/>
      <c r="EW75" s="427"/>
      <c r="EX75" s="427"/>
      <c r="EY75" s="427"/>
      <c r="EZ75" s="427"/>
      <c r="FA75" s="427"/>
      <c r="FB75" s="427"/>
      <c r="FC75" s="427"/>
      <c r="FD75" s="427"/>
      <c r="FE75" s="427"/>
      <c r="FF75" s="427"/>
      <c r="FG75" s="427"/>
      <c r="FH75" s="427"/>
      <c r="FI75" s="427"/>
      <c r="FJ75" s="427"/>
      <c r="FK75" s="427"/>
      <c r="FL75" s="427"/>
      <c r="FM75" s="427"/>
      <c r="FN75" s="427"/>
      <c r="FO75" s="427"/>
      <c r="FP75" s="427"/>
      <c r="FQ75" s="427"/>
      <c r="FR75" s="427"/>
      <c r="FS75" s="427"/>
      <c r="FT75" s="427"/>
      <c r="FU75" s="427"/>
      <c r="FV75" s="427"/>
      <c r="FW75" s="427"/>
      <c r="FX75" s="427"/>
      <c r="FY75" s="427"/>
      <c r="FZ75" s="427"/>
      <c r="GA75" s="427"/>
      <c r="GB75" s="427"/>
      <c r="GC75" s="427"/>
      <c r="GD75" s="427"/>
      <c r="GE75" s="427"/>
      <c r="GF75" s="427"/>
      <c r="GG75" s="427"/>
      <c r="GH75" s="427"/>
      <c r="GI75" s="427"/>
      <c r="GJ75" s="427"/>
      <c r="GK75" s="427"/>
      <c r="GL75" s="427"/>
      <c r="GM75" s="427"/>
      <c r="GN75" s="427"/>
      <c r="GO75" s="427"/>
      <c r="GP75" s="427"/>
      <c r="GQ75" s="427"/>
      <c r="GR75" s="427"/>
      <c r="GS75" s="427"/>
      <c r="GT75" s="427"/>
      <c r="GU75" s="427"/>
      <c r="GV75" s="427"/>
      <c r="GW75" s="427"/>
      <c r="GX75" s="427"/>
      <c r="GY75" s="427"/>
      <c r="GZ75" s="427"/>
      <c r="HA75" s="427"/>
      <c r="HB75" s="427"/>
      <c r="HC75" s="427"/>
      <c r="HD75" s="427"/>
      <c r="HE75" s="427"/>
      <c r="HF75" s="427"/>
      <c r="HG75" s="427"/>
      <c r="HH75" s="427"/>
      <c r="HI75" s="427"/>
      <c r="HJ75" s="427"/>
      <c r="HK75" s="427"/>
      <c r="HL75" s="427"/>
      <c r="HM75" s="427"/>
      <c r="HN75" s="427"/>
      <c r="HO75" s="427"/>
      <c r="HP75" s="427"/>
      <c r="HQ75" s="427"/>
      <c r="HR75" s="427"/>
      <c r="HS75" s="427"/>
      <c r="HT75" s="427"/>
      <c r="HU75" s="427"/>
      <c r="HV75" s="427"/>
      <c r="HW75" s="427"/>
      <c r="HX75" s="427"/>
      <c r="HY75" s="427"/>
      <c r="HZ75" s="427"/>
      <c r="IA75" s="427"/>
      <c r="IB75" s="427"/>
      <c r="IC75" s="427"/>
      <c r="ID75" s="427"/>
      <c r="IE75" s="427"/>
      <c r="IF75" s="427"/>
      <c r="IG75" s="427"/>
      <c r="IH75" s="427"/>
      <c r="II75" s="427"/>
      <c r="IJ75" s="427"/>
      <c r="IK75" s="427"/>
      <c r="IL75" s="427"/>
      <c r="IM75" s="427"/>
      <c r="IN75" s="427"/>
      <c r="IO75" s="427"/>
      <c r="IP75" s="427"/>
      <c r="IQ75" s="427"/>
      <c r="IR75" s="427"/>
    </row>
    <row r="76" spans="1:252" s="428" customFormat="1" ht="12" customHeight="1">
      <c r="A76" s="21" t="s">
        <v>180</v>
      </c>
      <c r="B76" s="433">
        <f>Allocation!$C$14*'Summary Output'!$C$8</f>
        <v>145091.26257184587</v>
      </c>
      <c r="C76" s="433">
        <f>Allocation!$C$14*'Summary Output'!$C$8</f>
        <v>145091.26257184587</v>
      </c>
      <c r="D76" s="433">
        <f>Allocation!$C$14*'Summary Output'!$C$8</f>
        <v>145091.26257184587</v>
      </c>
      <c r="E76" s="433">
        <f>Allocation!$C$14*'Summary Output'!$C$8</f>
        <v>145091.26257184587</v>
      </c>
      <c r="F76" s="433">
        <f>Allocation!$C$14*'Summary Output'!$C$8</f>
        <v>145091.26257184587</v>
      </c>
      <c r="G76" s="433">
        <f>Allocation!$C$14*'Summary Output'!$C$8</f>
        <v>145091.26257184587</v>
      </c>
      <c r="H76" s="433">
        <f>Allocation!$C$14*'Summary Output'!$C$8</f>
        <v>145091.26257184587</v>
      </c>
      <c r="I76" s="433">
        <f>Allocation!$C$14*'Summary Output'!$C$8</f>
        <v>145091.26257184587</v>
      </c>
      <c r="J76" s="433">
        <f>Allocation!$C$14*'Summary Output'!$C$8</f>
        <v>145091.26257184587</v>
      </c>
      <c r="K76" s="433">
        <f>Allocation!$C$14*'Summary Output'!$C$8</f>
        <v>145091.26257184587</v>
      </c>
      <c r="L76" s="433">
        <f>Allocation!$C$14*'Summary Output'!$C$8</f>
        <v>145091.26257184587</v>
      </c>
      <c r="M76" s="433">
        <f>Allocation!$C$14*'Summary Output'!$C$8</f>
        <v>145091.26257184587</v>
      </c>
      <c r="N76" s="433">
        <f>Allocation!$C$14*'Summary Output'!$C$8</f>
        <v>145091.26257184587</v>
      </c>
      <c r="O76" s="433">
        <f>Allocation!$C$14*'Summary Output'!$C$8</f>
        <v>145091.26257184587</v>
      </c>
      <c r="P76" s="433">
        <f>Allocation!$C$14*'Summary Output'!$C$8</f>
        <v>145091.26257184587</v>
      </c>
      <c r="Q76" s="433">
        <f>Allocation!$C$14*'Summary Output'!$C$8</f>
        <v>145091.26257184587</v>
      </c>
      <c r="R76" s="433">
        <f>Allocation!$C$14*'Summary Output'!$C$8</f>
        <v>145091.26257184587</v>
      </c>
      <c r="S76" s="433">
        <f>Allocation!$C$14*'Summary Output'!$C$8</f>
        <v>145091.26257184587</v>
      </c>
      <c r="T76" s="433">
        <f>Allocation!$C$14*'Summary Output'!$C$8</f>
        <v>145091.26257184587</v>
      </c>
      <c r="U76" s="433">
        <f>Allocation!$C$14*'Summary Output'!$C$8</f>
        <v>145091.26257184587</v>
      </c>
      <c r="V76" s="433"/>
      <c r="W76" s="433"/>
      <c r="X76" s="433"/>
      <c r="Y76" s="433"/>
      <c r="Z76" s="424"/>
      <c r="AA76" s="427"/>
      <c r="AB76" s="427"/>
      <c r="AC76" s="427"/>
      <c r="AD76" s="427"/>
      <c r="AE76" s="427"/>
      <c r="AF76" s="427"/>
      <c r="AG76" s="427"/>
      <c r="AH76" s="427"/>
      <c r="AI76" s="427"/>
      <c r="AJ76" s="427"/>
      <c r="AK76" s="427"/>
      <c r="AL76" s="427"/>
      <c r="AM76" s="427"/>
      <c r="AN76" s="427"/>
      <c r="AO76" s="427"/>
      <c r="AP76" s="427"/>
      <c r="AQ76" s="427"/>
      <c r="AR76" s="427"/>
      <c r="AS76" s="427"/>
      <c r="AT76" s="427"/>
      <c r="AU76" s="427"/>
      <c r="AV76" s="427"/>
      <c r="AW76" s="427"/>
      <c r="AX76" s="427"/>
      <c r="AY76" s="427"/>
      <c r="AZ76" s="427"/>
      <c r="BA76" s="427"/>
      <c r="BB76" s="427"/>
      <c r="BC76" s="427"/>
      <c r="BD76" s="427"/>
      <c r="BE76" s="427"/>
      <c r="BF76" s="427"/>
      <c r="BG76" s="427"/>
      <c r="BH76" s="427"/>
      <c r="BI76" s="427"/>
      <c r="BJ76" s="427"/>
      <c r="BK76" s="427"/>
      <c r="BL76" s="427"/>
      <c r="BM76" s="427"/>
      <c r="BN76" s="427"/>
      <c r="BO76" s="427"/>
      <c r="BP76" s="427"/>
      <c r="BQ76" s="427"/>
      <c r="BR76" s="427"/>
      <c r="BS76" s="427"/>
      <c r="BT76" s="427"/>
      <c r="BU76" s="427"/>
      <c r="BV76" s="427"/>
      <c r="BW76" s="427"/>
      <c r="BX76" s="427"/>
      <c r="BY76" s="427"/>
      <c r="BZ76" s="427"/>
      <c r="CA76" s="427"/>
      <c r="CB76" s="427"/>
      <c r="CC76" s="427"/>
      <c r="CD76" s="427"/>
      <c r="CE76" s="427"/>
      <c r="CF76" s="427"/>
      <c r="CG76" s="427"/>
      <c r="CH76" s="427"/>
      <c r="CI76" s="427"/>
      <c r="CJ76" s="427"/>
      <c r="CK76" s="427"/>
      <c r="CL76" s="427"/>
      <c r="CM76" s="427"/>
      <c r="CN76" s="427"/>
      <c r="CO76" s="427"/>
      <c r="CP76" s="427"/>
      <c r="CQ76" s="427"/>
      <c r="CR76" s="427"/>
      <c r="CS76" s="427"/>
      <c r="CT76" s="427"/>
      <c r="CU76" s="427"/>
      <c r="CV76" s="427"/>
      <c r="CW76" s="427"/>
      <c r="CX76" s="427"/>
      <c r="CY76" s="427"/>
      <c r="CZ76" s="427"/>
      <c r="DA76" s="427"/>
      <c r="DB76" s="427"/>
      <c r="DC76" s="427"/>
      <c r="DD76" s="427"/>
      <c r="DE76" s="427"/>
      <c r="DF76" s="427"/>
      <c r="DG76" s="427"/>
      <c r="DH76" s="427"/>
      <c r="DI76" s="427"/>
      <c r="DJ76" s="427"/>
      <c r="DK76" s="427"/>
      <c r="DL76" s="427"/>
      <c r="DM76" s="427"/>
      <c r="DN76" s="427"/>
      <c r="DO76" s="427"/>
      <c r="DP76" s="427"/>
      <c r="DQ76" s="427"/>
      <c r="DR76" s="427"/>
      <c r="DS76" s="427"/>
      <c r="DT76" s="427"/>
      <c r="DU76" s="427"/>
      <c r="DV76" s="427"/>
      <c r="DW76" s="427"/>
      <c r="DX76" s="427"/>
      <c r="DY76" s="427"/>
      <c r="DZ76" s="427"/>
      <c r="EA76" s="427"/>
      <c r="EB76" s="427"/>
      <c r="EC76" s="427"/>
      <c r="ED76" s="427"/>
      <c r="EE76" s="427"/>
      <c r="EF76" s="427"/>
      <c r="EG76" s="427"/>
      <c r="EH76" s="427"/>
      <c r="EI76" s="427"/>
      <c r="EJ76" s="427"/>
      <c r="EK76" s="427"/>
      <c r="EL76" s="427"/>
      <c r="EM76" s="427"/>
      <c r="EN76" s="427"/>
      <c r="EO76" s="427"/>
      <c r="EP76" s="427"/>
      <c r="EQ76" s="427"/>
      <c r="ER76" s="427"/>
      <c r="ES76" s="427"/>
      <c r="ET76" s="427"/>
      <c r="EU76" s="427"/>
      <c r="EV76" s="427"/>
      <c r="EW76" s="427"/>
      <c r="EX76" s="427"/>
      <c r="EY76" s="427"/>
      <c r="EZ76" s="427"/>
      <c r="FA76" s="427"/>
      <c r="FB76" s="427"/>
      <c r="FC76" s="427"/>
      <c r="FD76" s="427"/>
      <c r="FE76" s="427"/>
      <c r="FF76" s="427"/>
      <c r="FG76" s="427"/>
      <c r="FH76" s="427"/>
      <c r="FI76" s="427"/>
      <c r="FJ76" s="427"/>
      <c r="FK76" s="427"/>
      <c r="FL76" s="427"/>
      <c r="FM76" s="427"/>
      <c r="FN76" s="427"/>
      <c r="FO76" s="427"/>
      <c r="FP76" s="427"/>
      <c r="FQ76" s="427"/>
      <c r="FR76" s="427"/>
      <c r="FS76" s="427"/>
      <c r="FT76" s="427"/>
      <c r="FU76" s="427"/>
      <c r="FV76" s="427"/>
      <c r="FW76" s="427"/>
      <c r="FX76" s="427"/>
      <c r="FY76" s="427"/>
      <c r="FZ76" s="427"/>
      <c r="GA76" s="427"/>
      <c r="GB76" s="427"/>
      <c r="GC76" s="427"/>
      <c r="GD76" s="427"/>
      <c r="GE76" s="427"/>
      <c r="GF76" s="427"/>
      <c r="GG76" s="427"/>
      <c r="GH76" s="427"/>
      <c r="GI76" s="427"/>
      <c r="GJ76" s="427"/>
      <c r="GK76" s="427"/>
      <c r="GL76" s="427"/>
      <c r="GM76" s="427"/>
      <c r="GN76" s="427"/>
      <c r="GO76" s="427"/>
      <c r="GP76" s="427"/>
      <c r="GQ76" s="427"/>
      <c r="GR76" s="427"/>
      <c r="GS76" s="427"/>
      <c r="GT76" s="427"/>
      <c r="GU76" s="427"/>
      <c r="GV76" s="427"/>
      <c r="GW76" s="427"/>
      <c r="GX76" s="427"/>
      <c r="GY76" s="427"/>
      <c r="GZ76" s="427"/>
      <c r="HA76" s="427"/>
      <c r="HB76" s="427"/>
      <c r="HC76" s="427"/>
      <c r="HD76" s="427"/>
      <c r="HE76" s="427"/>
      <c r="HF76" s="427"/>
      <c r="HG76" s="427"/>
      <c r="HH76" s="427"/>
      <c r="HI76" s="427"/>
      <c r="HJ76" s="427"/>
      <c r="HK76" s="427"/>
      <c r="HL76" s="427"/>
      <c r="HM76" s="427"/>
      <c r="HN76" s="427"/>
      <c r="HO76" s="427"/>
      <c r="HP76" s="427"/>
      <c r="HQ76" s="427"/>
      <c r="HR76" s="427"/>
      <c r="HS76" s="427"/>
      <c r="HT76" s="427"/>
      <c r="HU76" s="427"/>
      <c r="HV76" s="427"/>
      <c r="HW76" s="427"/>
      <c r="HX76" s="427"/>
      <c r="HY76" s="427"/>
      <c r="HZ76" s="427"/>
      <c r="IA76" s="427"/>
      <c r="IB76" s="427"/>
      <c r="IC76" s="427"/>
      <c r="ID76" s="427"/>
      <c r="IE76" s="427"/>
      <c r="IF76" s="427"/>
      <c r="IG76" s="427"/>
      <c r="IH76" s="427"/>
      <c r="II76" s="427"/>
      <c r="IJ76" s="427"/>
      <c r="IK76" s="427"/>
      <c r="IL76" s="427"/>
      <c r="IM76" s="427"/>
      <c r="IN76" s="427"/>
      <c r="IO76" s="427"/>
      <c r="IP76" s="427"/>
      <c r="IQ76" s="427"/>
      <c r="IR76" s="427"/>
    </row>
    <row r="77" spans="1:252" s="429" customFormat="1" ht="12" customHeight="1">
      <c r="A77" s="21" t="s">
        <v>183</v>
      </c>
      <c r="B77" s="434">
        <f>Assumptions!I41</f>
        <v>1.5E-3</v>
      </c>
      <c r="C77" s="434">
        <f>Assumptions!$I$42</f>
        <v>1E-3</v>
      </c>
      <c r="D77" s="434">
        <f>Assumptions!$I$42</f>
        <v>1E-3</v>
      </c>
      <c r="E77" s="434">
        <f>Assumptions!$I$42</f>
        <v>1E-3</v>
      </c>
      <c r="F77" s="434">
        <f>Assumptions!$I$42</f>
        <v>1E-3</v>
      </c>
      <c r="G77" s="434">
        <f>Assumptions!$I$42</f>
        <v>1E-3</v>
      </c>
      <c r="H77" s="434">
        <f>Assumptions!$I$42</f>
        <v>1E-3</v>
      </c>
      <c r="I77" s="434">
        <f>Assumptions!$I$42</f>
        <v>1E-3</v>
      </c>
      <c r="J77" s="434">
        <f>Assumptions!$I$42</f>
        <v>1E-3</v>
      </c>
      <c r="K77" s="434">
        <f>Assumptions!$I$42</f>
        <v>1E-3</v>
      </c>
      <c r="L77" s="434">
        <f>Assumptions!$I$42</f>
        <v>1E-3</v>
      </c>
      <c r="M77" s="434">
        <f>Assumptions!$I$42</f>
        <v>1E-3</v>
      </c>
      <c r="N77" s="434">
        <f>Assumptions!$I$42</f>
        <v>1E-3</v>
      </c>
      <c r="O77" s="434">
        <f>Assumptions!$I$42</f>
        <v>1E-3</v>
      </c>
      <c r="P77" s="434">
        <f>Assumptions!$I$42</f>
        <v>1E-3</v>
      </c>
      <c r="Q77" s="434">
        <f>Assumptions!$I$42</f>
        <v>1E-3</v>
      </c>
      <c r="R77" s="434">
        <f>Assumptions!$I$42</f>
        <v>1E-3</v>
      </c>
      <c r="S77" s="434">
        <f>Assumptions!$I$42</f>
        <v>1E-3</v>
      </c>
      <c r="T77" s="434">
        <f>Assumptions!$I$42</f>
        <v>1E-3</v>
      </c>
      <c r="U77" s="434">
        <f>Assumptions!$I$42</f>
        <v>1E-3</v>
      </c>
      <c r="V77" s="434"/>
      <c r="W77" s="434"/>
      <c r="X77" s="434"/>
      <c r="Y77" s="434"/>
      <c r="Z77" s="426"/>
      <c r="AA77" s="427"/>
      <c r="AB77" s="427"/>
      <c r="AC77" s="427"/>
      <c r="AD77" s="427"/>
      <c r="AE77" s="427"/>
      <c r="AF77" s="427"/>
      <c r="AG77" s="427"/>
      <c r="AH77" s="427"/>
      <c r="AI77" s="427"/>
      <c r="AJ77" s="427"/>
      <c r="AK77" s="427"/>
      <c r="AL77" s="427"/>
      <c r="AM77" s="427"/>
      <c r="AN77" s="427"/>
      <c r="AO77" s="427"/>
      <c r="AP77" s="427"/>
      <c r="AQ77" s="427"/>
      <c r="AR77" s="427"/>
      <c r="AS77" s="427"/>
      <c r="AT77" s="427"/>
      <c r="AU77" s="427"/>
      <c r="AV77" s="427"/>
      <c r="AW77" s="427"/>
      <c r="AX77" s="427"/>
      <c r="AY77" s="427"/>
      <c r="AZ77" s="427"/>
      <c r="BA77" s="427"/>
      <c r="BB77" s="427"/>
      <c r="BC77" s="427"/>
      <c r="BD77" s="427"/>
      <c r="BE77" s="427"/>
      <c r="BF77" s="427"/>
      <c r="BG77" s="427"/>
      <c r="BH77" s="427"/>
      <c r="BI77" s="427"/>
      <c r="BJ77" s="427"/>
      <c r="BK77" s="427"/>
      <c r="BL77" s="427"/>
      <c r="BM77" s="427"/>
      <c r="BN77" s="427"/>
      <c r="BO77" s="427"/>
      <c r="BP77" s="427"/>
      <c r="BQ77" s="427"/>
      <c r="BR77" s="427"/>
      <c r="BS77" s="427"/>
      <c r="BT77" s="427"/>
      <c r="BU77" s="427"/>
      <c r="BV77" s="427"/>
      <c r="BW77" s="427"/>
      <c r="BX77" s="427"/>
      <c r="BY77" s="427"/>
      <c r="BZ77" s="427"/>
      <c r="CA77" s="427"/>
      <c r="CB77" s="427"/>
      <c r="CC77" s="427"/>
      <c r="CD77" s="427"/>
      <c r="CE77" s="427"/>
      <c r="CF77" s="427"/>
      <c r="CG77" s="427"/>
      <c r="CH77" s="427"/>
      <c r="CI77" s="427"/>
      <c r="CJ77" s="427"/>
      <c r="CK77" s="427"/>
      <c r="CL77" s="427"/>
      <c r="CM77" s="427"/>
      <c r="CN77" s="427"/>
      <c r="CO77" s="427"/>
      <c r="CP77" s="427"/>
      <c r="CQ77" s="427"/>
      <c r="CR77" s="427"/>
      <c r="CS77" s="427"/>
      <c r="CT77" s="427"/>
      <c r="CU77" s="427"/>
      <c r="CV77" s="427"/>
      <c r="CW77" s="427"/>
      <c r="CX77" s="427"/>
      <c r="CY77" s="427"/>
      <c r="CZ77" s="427"/>
      <c r="DA77" s="427"/>
      <c r="DB77" s="427"/>
      <c r="DC77" s="427"/>
      <c r="DD77" s="427"/>
      <c r="DE77" s="427"/>
      <c r="DF77" s="427"/>
      <c r="DG77" s="427"/>
      <c r="DH77" s="427"/>
      <c r="DI77" s="427"/>
      <c r="DJ77" s="427"/>
      <c r="DK77" s="427"/>
      <c r="DL77" s="427"/>
      <c r="DM77" s="427"/>
      <c r="DN77" s="427"/>
      <c r="DO77" s="427"/>
      <c r="DP77" s="427"/>
      <c r="DQ77" s="427"/>
      <c r="DR77" s="427"/>
      <c r="DS77" s="427"/>
      <c r="DT77" s="427"/>
      <c r="DU77" s="427"/>
      <c r="DV77" s="427"/>
      <c r="DW77" s="427"/>
      <c r="DX77" s="427"/>
      <c r="DY77" s="427"/>
      <c r="DZ77" s="427"/>
      <c r="EA77" s="427"/>
      <c r="EB77" s="427"/>
      <c r="EC77" s="427"/>
      <c r="ED77" s="427"/>
      <c r="EE77" s="427"/>
      <c r="EF77" s="427"/>
      <c r="EG77" s="427"/>
      <c r="EH77" s="427"/>
      <c r="EI77" s="427"/>
      <c r="EJ77" s="427"/>
      <c r="EK77" s="427"/>
      <c r="EL77" s="427"/>
      <c r="EM77" s="427"/>
      <c r="EN77" s="427"/>
      <c r="EO77" s="427"/>
      <c r="EP77" s="427"/>
      <c r="EQ77" s="427"/>
      <c r="ER77" s="427"/>
      <c r="ES77" s="427"/>
      <c r="ET77" s="427"/>
      <c r="EU77" s="427"/>
      <c r="EV77" s="427"/>
      <c r="EW77" s="427"/>
      <c r="EX77" s="427"/>
      <c r="EY77" s="427"/>
      <c r="EZ77" s="427"/>
      <c r="FA77" s="427"/>
      <c r="FB77" s="427"/>
      <c r="FC77" s="427"/>
      <c r="FD77" s="427"/>
      <c r="FE77" s="427"/>
      <c r="FF77" s="427"/>
      <c r="FG77" s="427"/>
      <c r="FH77" s="427"/>
      <c r="FI77" s="427"/>
      <c r="FJ77" s="427"/>
      <c r="FK77" s="427"/>
      <c r="FL77" s="427"/>
      <c r="FM77" s="427"/>
      <c r="FN77" s="427"/>
      <c r="FO77" s="427"/>
      <c r="FP77" s="427"/>
      <c r="FQ77" s="427"/>
      <c r="FR77" s="427"/>
      <c r="FS77" s="427"/>
      <c r="FT77" s="427"/>
      <c r="FU77" s="427"/>
      <c r="FV77" s="427"/>
      <c r="FW77" s="427"/>
      <c r="FX77" s="427"/>
      <c r="FY77" s="427"/>
      <c r="FZ77" s="427"/>
      <c r="GA77" s="427"/>
      <c r="GB77" s="427"/>
      <c r="GC77" s="427"/>
      <c r="GD77" s="427"/>
      <c r="GE77" s="427"/>
      <c r="GF77" s="427"/>
      <c r="GG77" s="427"/>
      <c r="GH77" s="427"/>
      <c r="GI77" s="427"/>
      <c r="GJ77" s="427"/>
      <c r="GK77" s="427"/>
      <c r="GL77" s="427"/>
      <c r="GM77" s="427"/>
      <c r="GN77" s="427"/>
      <c r="GO77" s="427"/>
      <c r="GP77" s="427"/>
      <c r="GQ77" s="427"/>
      <c r="GR77" s="427"/>
      <c r="GS77" s="427"/>
      <c r="GT77" s="427"/>
      <c r="GU77" s="427"/>
      <c r="GV77" s="427"/>
      <c r="GW77" s="427"/>
      <c r="GX77" s="427"/>
      <c r="GY77" s="427"/>
      <c r="GZ77" s="427"/>
      <c r="HA77" s="427"/>
      <c r="HB77" s="427"/>
      <c r="HC77" s="427"/>
      <c r="HD77" s="427"/>
      <c r="HE77" s="427"/>
      <c r="HF77" s="427"/>
      <c r="HG77" s="427"/>
      <c r="HH77" s="427"/>
      <c r="HI77" s="427"/>
      <c r="HJ77" s="427"/>
      <c r="HK77" s="427"/>
      <c r="HL77" s="427"/>
      <c r="HM77" s="427"/>
      <c r="HN77" s="427"/>
      <c r="HO77" s="427"/>
      <c r="HP77" s="427"/>
      <c r="HQ77" s="427"/>
      <c r="HR77" s="427"/>
      <c r="HS77" s="427"/>
      <c r="HT77" s="427"/>
      <c r="HU77" s="427"/>
      <c r="HV77" s="427"/>
      <c r="HW77" s="427"/>
      <c r="HX77" s="427"/>
      <c r="HY77" s="427"/>
      <c r="HZ77" s="427"/>
      <c r="IA77" s="427"/>
      <c r="IB77" s="427"/>
      <c r="IC77" s="427"/>
      <c r="ID77" s="427"/>
      <c r="IE77" s="427"/>
      <c r="IF77" s="427"/>
      <c r="IG77" s="427"/>
      <c r="IH77" s="427"/>
      <c r="II77" s="427"/>
      <c r="IJ77" s="427"/>
      <c r="IK77" s="427"/>
      <c r="IL77" s="427"/>
      <c r="IM77" s="427"/>
      <c r="IN77" s="427"/>
      <c r="IO77" s="427"/>
    </row>
    <row r="78" spans="1:252" s="429" customFormat="1" ht="12" customHeight="1">
      <c r="A78" s="32" t="s">
        <v>184</v>
      </c>
      <c r="B78" s="435">
        <f>B76*B77</f>
        <v>217.63689385776883</v>
      </c>
      <c r="C78" s="435">
        <f t="shared" ref="C78:U78" si="19">C76*C77</f>
        <v>145.09126257184587</v>
      </c>
      <c r="D78" s="435">
        <f t="shared" si="19"/>
        <v>145.09126257184587</v>
      </c>
      <c r="E78" s="435">
        <f t="shared" si="19"/>
        <v>145.09126257184587</v>
      </c>
      <c r="F78" s="435">
        <f t="shared" si="19"/>
        <v>145.09126257184587</v>
      </c>
      <c r="G78" s="435">
        <f t="shared" si="19"/>
        <v>145.09126257184587</v>
      </c>
      <c r="H78" s="435">
        <f t="shared" si="19"/>
        <v>145.09126257184587</v>
      </c>
      <c r="I78" s="435">
        <f t="shared" si="19"/>
        <v>145.09126257184587</v>
      </c>
      <c r="J78" s="435">
        <f t="shared" si="19"/>
        <v>145.09126257184587</v>
      </c>
      <c r="K78" s="435">
        <f t="shared" si="19"/>
        <v>145.09126257184587</v>
      </c>
      <c r="L78" s="435">
        <f t="shared" si="19"/>
        <v>145.09126257184587</v>
      </c>
      <c r="M78" s="435">
        <f t="shared" si="19"/>
        <v>145.09126257184587</v>
      </c>
      <c r="N78" s="435">
        <f t="shared" si="19"/>
        <v>145.09126257184587</v>
      </c>
      <c r="O78" s="435">
        <f t="shared" si="19"/>
        <v>145.09126257184587</v>
      </c>
      <c r="P78" s="435">
        <f t="shared" si="19"/>
        <v>145.09126257184587</v>
      </c>
      <c r="Q78" s="435">
        <f t="shared" si="19"/>
        <v>145.09126257184587</v>
      </c>
      <c r="R78" s="435">
        <f t="shared" si="19"/>
        <v>145.09126257184587</v>
      </c>
      <c r="S78" s="435">
        <f t="shared" si="19"/>
        <v>145.09126257184587</v>
      </c>
      <c r="T78" s="435">
        <f t="shared" si="19"/>
        <v>145.09126257184587</v>
      </c>
      <c r="U78" s="435">
        <f t="shared" si="19"/>
        <v>145.09126257184587</v>
      </c>
      <c r="V78" s="435"/>
      <c r="W78" s="435"/>
      <c r="X78" s="435"/>
      <c r="Y78" s="435"/>
      <c r="Z78" s="426"/>
      <c r="AA78" s="427"/>
      <c r="AB78" s="427"/>
      <c r="AC78" s="427"/>
      <c r="AD78" s="427"/>
      <c r="AE78" s="427"/>
      <c r="AF78" s="427"/>
      <c r="AG78" s="427"/>
      <c r="AH78" s="427"/>
      <c r="AI78" s="427"/>
      <c r="AJ78" s="427"/>
      <c r="AK78" s="427"/>
      <c r="AL78" s="427"/>
      <c r="AM78" s="427"/>
      <c r="AN78" s="427"/>
      <c r="AO78" s="427"/>
      <c r="AP78" s="427"/>
      <c r="AQ78" s="427"/>
      <c r="AR78" s="427"/>
      <c r="AS78" s="427"/>
      <c r="AT78" s="427"/>
      <c r="AU78" s="427"/>
      <c r="AV78" s="427"/>
      <c r="AW78" s="427"/>
      <c r="AX78" s="427"/>
      <c r="AY78" s="427"/>
      <c r="AZ78" s="427"/>
      <c r="BA78" s="427"/>
      <c r="BB78" s="427"/>
      <c r="BC78" s="427"/>
      <c r="BD78" s="427"/>
      <c r="BE78" s="427"/>
      <c r="BF78" s="427"/>
      <c r="BG78" s="427"/>
      <c r="BH78" s="427"/>
      <c r="BI78" s="427"/>
      <c r="BJ78" s="427"/>
      <c r="BK78" s="427"/>
      <c r="BL78" s="427"/>
      <c r="BM78" s="427"/>
      <c r="BN78" s="427"/>
      <c r="BO78" s="427"/>
      <c r="BP78" s="427"/>
      <c r="BQ78" s="427"/>
      <c r="BR78" s="427"/>
      <c r="BS78" s="427"/>
      <c r="BT78" s="427"/>
      <c r="BU78" s="427"/>
      <c r="BV78" s="427"/>
      <c r="BW78" s="427"/>
      <c r="BX78" s="427"/>
      <c r="BY78" s="427"/>
      <c r="BZ78" s="427"/>
      <c r="CA78" s="427"/>
      <c r="CB78" s="427"/>
      <c r="CC78" s="427"/>
      <c r="CD78" s="427"/>
      <c r="CE78" s="427"/>
      <c r="CF78" s="427"/>
      <c r="CG78" s="427"/>
      <c r="CH78" s="427"/>
      <c r="CI78" s="427"/>
      <c r="CJ78" s="427"/>
      <c r="CK78" s="427"/>
      <c r="CL78" s="427"/>
      <c r="CM78" s="427"/>
      <c r="CN78" s="427"/>
      <c r="CO78" s="427"/>
      <c r="CP78" s="427"/>
      <c r="CQ78" s="427"/>
      <c r="CR78" s="427"/>
      <c r="CS78" s="427"/>
      <c r="CT78" s="427"/>
      <c r="CU78" s="427"/>
      <c r="CV78" s="427"/>
      <c r="CW78" s="427"/>
      <c r="CX78" s="427"/>
      <c r="CY78" s="427"/>
      <c r="CZ78" s="427"/>
      <c r="DA78" s="427"/>
      <c r="DB78" s="427"/>
      <c r="DC78" s="427"/>
      <c r="DD78" s="427"/>
      <c r="DE78" s="427"/>
      <c r="DF78" s="427"/>
      <c r="DG78" s="427"/>
      <c r="DH78" s="427"/>
      <c r="DI78" s="427"/>
      <c r="DJ78" s="427"/>
      <c r="DK78" s="427"/>
      <c r="DL78" s="427"/>
      <c r="DM78" s="427"/>
      <c r="DN78" s="427"/>
      <c r="DO78" s="427"/>
      <c r="DP78" s="427"/>
      <c r="DQ78" s="427"/>
      <c r="DR78" s="427"/>
      <c r="DS78" s="427"/>
      <c r="DT78" s="427"/>
      <c r="DU78" s="427"/>
      <c r="DV78" s="427"/>
      <c r="DW78" s="427"/>
      <c r="DX78" s="427"/>
      <c r="DY78" s="427"/>
      <c r="DZ78" s="427"/>
      <c r="EA78" s="427"/>
      <c r="EB78" s="427"/>
      <c r="EC78" s="427"/>
      <c r="ED78" s="427"/>
      <c r="EE78" s="427"/>
      <c r="EF78" s="427"/>
      <c r="EG78" s="427"/>
      <c r="EH78" s="427"/>
      <c r="EI78" s="427"/>
      <c r="EJ78" s="427"/>
      <c r="EK78" s="427"/>
      <c r="EL78" s="427"/>
      <c r="EM78" s="427"/>
      <c r="EN78" s="427"/>
      <c r="EO78" s="427"/>
      <c r="EP78" s="427"/>
      <c r="EQ78" s="427"/>
      <c r="ER78" s="427"/>
      <c r="ES78" s="427"/>
      <c r="ET78" s="427"/>
      <c r="EU78" s="427"/>
      <c r="EV78" s="427"/>
      <c r="EW78" s="427"/>
      <c r="EX78" s="427"/>
      <c r="EY78" s="427"/>
      <c r="EZ78" s="427"/>
      <c r="FA78" s="427"/>
      <c r="FB78" s="427"/>
      <c r="FC78" s="427"/>
      <c r="FD78" s="427"/>
      <c r="FE78" s="427"/>
      <c r="FF78" s="427"/>
      <c r="FG78" s="427"/>
      <c r="FH78" s="427"/>
      <c r="FI78" s="427"/>
      <c r="FJ78" s="427"/>
      <c r="FK78" s="427"/>
      <c r="FL78" s="427"/>
      <c r="FM78" s="427"/>
      <c r="FN78" s="427"/>
      <c r="FO78" s="427"/>
      <c r="FP78" s="427"/>
      <c r="FQ78" s="427"/>
      <c r="FR78" s="427"/>
      <c r="FS78" s="427"/>
      <c r="FT78" s="427"/>
      <c r="FU78" s="427"/>
      <c r="FV78" s="427"/>
      <c r="FW78" s="427"/>
      <c r="FX78" s="427"/>
      <c r="FY78" s="427"/>
      <c r="FZ78" s="427"/>
      <c r="GA78" s="427"/>
      <c r="GB78" s="427"/>
      <c r="GC78" s="427"/>
      <c r="GD78" s="427"/>
      <c r="GE78" s="427"/>
      <c r="GF78" s="427"/>
      <c r="GG78" s="427"/>
      <c r="GH78" s="427"/>
      <c r="GI78" s="427"/>
      <c r="GJ78" s="427"/>
      <c r="GK78" s="427"/>
      <c r="GL78" s="427"/>
      <c r="GM78" s="427"/>
      <c r="GN78" s="427"/>
      <c r="GO78" s="427"/>
      <c r="GP78" s="427"/>
      <c r="GQ78" s="427"/>
      <c r="GR78" s="427"/>
      <c r="GS78" s="427"/>
      <c r="GT78" s="427"/>
      <c r="GU78" s="427"/>
      <c r="GV78" s="427"/>
      <c r="GW78" s="427"/>
      <c r="GX78" s="427"/>
      <c r="GY78" s="427"/>
      <c r="GZ78" s="427"/>
      <c r="HA78" s="427"/>
      <c r="HB78" s="427"/>
      <c r="HC78" s="427"/>
      <c r="HD78" s="427"/>
      <c r="HE78" s="427"/>
      <c r="HF78" s="427"/>
      <c r="HG78" s="427"/>
      <c r="HH78" s="427"/>
      <c r="HI78" s="427"/>
      <c r="HJ78" s="427"/>
      <c r="HK78" s="427"/>
      <c r="HL78" s="427"/>
      <c r="HM78" s="427"/>
      <c r="HN78" s="427"/>
      <c r="HO78" s="427"/>
      <c r="HP78" s="427"/>
      <c r="HQ78" s="427"/>
      <c r="HR78" s="427"/>
      <c r="HS78" s="427"/>
      <c r="HT78" s="427"/>
      <c r="HU78" s="427"/>
      <c r="HV78" s="427"/>
      <c r="HW78" s="427"/>
      <c r="HX78" s="427"/>
      <c r="HY78" s="427"/>
      <c r="HZ78" s="427"/>
      <c r="IA78" s="427"/>
      <c r="IB78" s="427"/>
      <c r="IC78" s="427"/>
      <c r="ID78" s="427"/>
      <c r="IE78" s="427"/>
      <c r="IF78" s="427"/>
      <c r="IG78" s="427"/>
      <c r="IH78" s="427"/>
      <c r="II78" s="427"/>
      <c r="IJ78" s="427"/>
      <c r="IK78" s="427"/>
      <c r="IL78" s="427"/>
      <c r="IM78" s="427"/>
      <c r="IN78" s="427"/>
      <c r="IO78" s="427"/>
      <c r="IP78" s="427"/>
      <c r="IQ78" s="427"/>
    </row>
    <row r="79" spans="1:252" s="429" customFormat="1" ht="12" customHeight="1">
      <c r="A79" s="430"/>
      <c r="B79" s="430"/>
      <c r="C79" s="430"/>
      <c r="D79" s="431"/>
      <c r="E79" s="431"/>
      <c r="F79" s="431"/>
      <c r="G79" s="431"/>
      <c r="H79" s="431"/>
      <c r="I79" s="431"/>
      <c r="J79" s="431"/>
      <c r="K79" s="431"/>
      <c r="L79" s="431"/>
      <c r="M79" s="431"/>
      <c r="N79" s="431"/>
      <c r="O79" s="431"/>
      <c r="P79" s="431"/>
      <c r="Q79" s="431"/>
      <c r="R79" s="431"/>
      <c r="S79" s="431"/>
      <c r="T79" s="431"/>
      <c r="U79" s="431"/>
      <c r="V79" s="431"/>
      <c r="W79" s="431"/>
      <c r="X79" s="431"/>
      <c r="Y79" s="431"/>
      <c r="Z79" s="426"/>
      <c r="AA79" s="427"/>
      <c r="AB79" s="427"/>
      <c r="AC79" s="427"/>
      <c r="AD79" s="427"/>
      <c r="AE79" s="427"/>
      <c r="AF79" s="427"/>
      <c r="AG79" s="427"/>
      <c r="AH79" s="427"/>
      <c r="AI79" s="427"/>
      <c r="AJ79" s="427"/>
      <c r="AK79" s="427"/>
      <c r="AL79" s="427"/>
      <c r="AM79" s="427"/>
      <c r="AN79" s="427"/>
      <c r="AO79" s="427"/>
      <c r="AP79" s="427"/>
      <c r="AQ79" s="427"/>
      <c r="AR79" s="427"/>
      <c r="AS79" s="427"/>
      <c r="AT79" s="427"/>
      <c r="AU79" s="427"/>
      <c r="AV79" s="427"/>
      <c r="AW79" s="427"/>
      <c r="AX79" s="427"/>
      <c r="AY79" s="427"/>
      <c r="AZ79" s="427"/>
      <c r="BA79" s="427"/>
      <c r="BB79" s="427"/>
      <c r="BC79" s="427"/>
      <c r="BD79" s="427"/>
      <c r="BE79" s="427"/>
      <c r="BF79" s="427"/>
      <c r="BG79" s="427"/>
      <c r="BH79" s="427"/>
      <c r="BI79" s="427"/>
      <c r="BJ79" s="427"/>
      <c r="BK79" s="427"/>
      <c r="BL79" s="427"/>
      <c r="BM79" s="427"/>
      <c r="BN79" s="427"/>
      <c r="BO79" s="427"/>
      <c r="BP79" s="427"/>
      <c r="BQ79" s="427"/>
      <c r="BR79" s="427"/>
      <c r="BS79" s="427"/>
      <c r="BT79" s="427"/>
      <c r="BU79" s="427"/>
      <c r="BV79" s="427"/>
      <c r="BW79" s="427"/>
      <c r="BX79" s="427"/>
      <c r="BY79" s="427"/>
      <c r="BZ79" s="427"/>
      <c r="CA79" s="427"/>
      <c r="CB79" s="427"/>
      <c r="CC79" s="427"/>
      <c r="CD79" s="427"/>
      <c r="CE79" s="427"/>
      <c r="CF79" s="427"/>
      <c r="CG79" s="427"/>
      <c r="CH79" s="427"/>
      <c r="CI79" s="427"/>
      <c r="CJ79" s="427"/>
      <c r="CK79" s="427"/>
      <c r="CL79" s="427"/>
      <c r="CM79" s="427"/>
      <c r="CN79" s="427"/>
      <c r="CO79" s="427"/>
      <c r="CP79" s="427"/>
      <c r="CQ79" s="427"/>
      <c r="CR79" s="427"/>
      <c r="CS79" s="427"/>
      <c r="CT79" s="427"/>
      <c r="CU79" s="427"/>
      <c r="CV79" s="427"/>
      <c r="CW79" s="427"/>
      <c r="CX79" s="427"/>
      <c r="CY79" s="427"/>
      <c r="CZ79" s="427"/>
      <c r="DA79" s="427"/>
      <c r="DB79" s="427"/>
      <c r="DC79" s="427"/>
      <c r="DD79" s="427"/>
      <c r="DE79" s="427"/>
      <c r="DF79" s="427"/>
      <c r="DG79" s="427"/>
      <c r="DH79" s="427"/>
      <c r="DI79" s="427"/>
      <c r="DJ79" s="427"/>
      <c r="DK79" s="427"/>
      <c r="DL79" s="427"/>
      <c r="DM79" s="427"/>
      <c r="DN79" s="427"/>
      <c r="DO79" s="427"/>
      <c r="DP79" s="427"/>
      <c r="DQ79" s="427"/>
      <c r="DR79" s="427"/>
      <c r="DS79" s="427"/>
      <c r="DT79" s="427"/>
      <c r="DU79" s="427"/>
      <c r="DV79" s="427"/>
      <c r="DW79" s="427"/>
      <c r="DX79" s="427"/>
      <c r="DY79" s="427"/>
      <c r="DZ79" s="427"/>
      <c r="EA79" s="427"/>
      <c r="EB79" s="427"/>
      <c r="EC79" s="427"/>
      <c r="ED79" s="427"/>
      <c r="EE79" s="427"/>
      <c r="EF79" s="427"/>
      <c r="EG79" s="427"/>
      <c r="EH79" s="427"/>
      <c r="EI79" s="427"/>
      <c r="EJ79" s="427"/>
      <c r="EK79" s="427"/>
      <c r="EL79" s="427"/>
      <c r="EM79" s="427"/>
      <c r="EN79" s="427"/>
      <c r="EO79" s="427"/>
      <c r="EP79" s="427"/>
      <c r="EQ79" s="427"/>
      <c r="ER79" s="427"/>
      <c r="ES79" s="427"/>
      <c r="ET79" s="427"/>
      <c r="EU79" s="427"/>
      <c r="EV79" s="427"/>
      <c r="EW79" s="427"/>
      <c r="EX79" s="427"/>
      <c r="EY79" s="427"/>
      <c r="EZ79" s="427"/>
      <c r="FA79" s="427"/>
      <c r="FB79" s="427"/>
      <c r="FC79" s="427"/>
      <c r="FD79" s="427"/>
      <c r="FE79" s="427"/>
      <c r="FF79" s="427"/>
      <c r="FG79" s="427"/>
      <c r="FH79" s="427"/>
      <c r="FI79" s="427"/>
      <c r="FJ79" s="427"/>
      <c r="FK79" s="427"/>
      <c r="FL79" s="427"/>
      <c r="FM79" s="427"/>
      <c r="FN79" s="427"/>
      <c r="FO79" s="427"/>
      <c r="FP79" s="427"/>
      <c r="FQ79" s="427"/>
      <c r="FR79" s="427"/>
      <c r="FS79" s="427"/>
      <c r="FT79" s="427"/>
      <c r="FU79" s="427"/>
      <c r="FV79" s="427"/>
      <c r="FW79" s="427"/>
      <c r="FX79" s="427"/>
      <c r="FY79" s="427"/>
      <c r="FZ79" s="427"/>
      <c r="GA79" s="427"/>
      <c r="GB79" s="427"/>
      <c r="GC79" s="427"/>
      <c r="GD79" s="427"/>
      <c r="GE79" s="427"/>
      <c r="GF79" s="427"/>
      <c r="GG79" s="427"/>
      <c r="GH79" s="427"/>
      <c r="GI79" s="427"/>
      <c r="GJ79" s="427"/>
      <c r="GK79" s="427"/>
      <c r="GL79" s="427"/>
      <c r="GM79" s="427"/>
      <c r="GN79" s="427"/>
      <c r="GO79" s="427"/>
      <c r="GP79" s="427"/>
      <c r="GQ79" s="427"/>
      <c r="GR79" s="427"/>
      <c r="GS79" s="427"/>
      <c r="GT79" s="427"/>
      <c r="GU79" s="427"/>
      <c r="GV79" s="427"/>
      <c r="GW79" s="427"/>
      <c r="GX79" s="427"/>
      <c r="GY79" s="427"/>
      <c r="GZ79" s="427"/>
      <c r="HA79" s="427"/>
      <c r="HB79" s="427"/>
      <c r="HC79" s="427"/>
      <c r="HD79" s="427"/>
      <c r="HE79" s="427"/>
      <c r="HF79" s="427"/>
      <c r="HG79" s="427"/>
      <c r="HH79" s="427"/>
      <c r="HI79" s="427"/>
      <c r="HJ79" s="427"/>
      <c r="HK79" s="427"/>
      <c r="HL79" s="427"/>
      <c r="HM79" s="427"/>
      <c r="HN79" s="427"/>
      <c r="HO79" s="427"/>
      <c r="HP79" s="427"/>
      <c r="HQ79" s="427"/>
      <c r="HR79" s="427"/>
      <c r="HS79" s="427"/>
      <c r="HT79" s="427"/>
      <c r="HU79" s="427"/>
      <c r="HV79" s="427"/>
      <c r="HW79" s="427"/>
      <c r="HX79" s="427"/>
      <c r="HY79" s="427"/>
      <c r="HZ79" s="427"/>
      <c r="IA79" s="427"/>
      <c r="IB79" s="427"/>
      <c r="IC79" s="427"/>
      <c r="ID79" s="427"/>
      <c r="IE79" s="427"/>
      <c r="IF79" s="427"/>
      <c r="IG79" s="427"/>
      <c r="IH79" s="427"/>
      <c r="II79" s="427"/>
      <c r="IJ79" s="427"/>
      <c r="IK79" s="427"/>
      <c r="IL79" s="427"/>
      <c r="IM79" s="427"/>
      <c r="IN79" s="427"/>
      <c r="IO79" s="427"/>
      <c r="IP79" s="427"/>
      <c r="IQ79" s="427"/>
    </row>
    <row r="80" spans="1:252" s="429" customFormat="1" ht="12" customHeight="1">
      <c r="A80" s="430"/>
      <c r="B80" s="430"/>
      <c r="C80" s="430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26"/>
      <c r="AA80" s="427"/>
      <c r="AB80" s="427"/>
      <c r="AC80" s="427"/>
      <c r="AD80" s="427"/>
      <c r="AE80" s="427"/>
      <c r="AF80" s="427"/>
      <c r="AG80" s="427"/>
      <c r="AH80" s="427"/>
      <c r="AI80" s="427"/>
      <c r="AJ80" s="427"/>
      <c r="AK80" s="427"/>
      <c r="AL80" s="427"/>
      <c r="AM80" s="427"/>
      <c r="AN80" s="427"/>
      <c r="AO80" s="427"/>
      <c r="AP80" s="427"/>
      <c r="AQ80" s="427"/>
      <c r="AR80" s="427"/>
      <c r="AS80" s="427"/>
      <c r="AT80" s="427"/>
      <c r="AU80" s="427"/>
      <c r="AV80" s="427"/>
      <c r="AW80" s="427"/>
      <c r="AX80" s="427"/>
      <c r="AY80" s="427"/>
      <c r="AZ80" s="427"/>
      <c r="BA80" s="427"/>
      <c r="BB80" s="427"/>
      <c r="BC80" s="427"/>
      <c r="BD80" s="427"/>
      <c r="BE80" s="427"/>
      <c r="BF80" s="427"/>
      <c r="BG80" s="427"/>
      <c r="BH80" s="427"/>
      <c r="BI80" s="427"/>
      <c r="BJ80" s="427"/>
      <c r="BK80" s="427"/>
      <c r="BL80" s="427"/>
      <c r="BM80" s="427"/>
      <c r="BN80" s="427"/>
      <c r="BO80" s="427"/>
      <c r="BP80" s="427"/>
      <c r="BQ80" s="427"/>
      <c r="BR80" s="427"/>
      <c r="BS80" s="427"/>
      <c r="BT80" s="427"/>
      <c r="BU80" s="427"/>
      <c r="BV80" s="427"/>
      <c r="BW80" s="427"/>
      <c r="BX80" s="427"/>
      <c r="BY80" s="427"/>
      <c r="BZ80" s="427"/>
      <c r="CA80" s="427"/>
      <c r="CB80" s="427"/>
      <c r="CC80" s="427"/>
      <c r="CD80" s="427"/>
      <c r="CE80" s="427"/>
      <c r="CF80" s="427"/>
      <c r="CG80" s="427"/>
      <c r="CH80" s="427"/>
      <c r="CI80" s="427"/>
      <c r="CJ80" s="427"/>
      <c r="CK80" s="427"/>
      <c r="CL80" s="427"/>
      <c r="CM80" s="427"/>
      <c r="CN80" s="427"/>
      <c r="CO80" s="427"/>
      <c r="CP80" s="427"/>
      <c r="CQ80" s="427"/>
      <c r="CR80" s="427"/>
      <c r="CS80" s="427"/>
      <c r="CT80" s="427"/>
      <c r="CU80" s="427"/>
      <c r="CV80" s="427"/>
      <c r="CW80" s="427"/>
      <c r="CX80" s="427"/>
      <c r="CY80" s="427"/>
      <c r="CZ80" s="427"/>
      <c r="DA80" s="427"/>
      <c r="DB80" s="427"/>
      <c r="DC80" s="427"/>
      <c r="DD80" s="427"/>
      <c r="DE80" s="427"/>
      <c r="DF80" s="427"/>
      <c r="DG80" s="427"/>
      <c r="DH80" s="427"/>
      <c r="DI80" s="427"/>
      <c r="DJ80" s="427"/>
      <c r="DK80" s="427"/>
      <c r="DL80" s="427"/>
      <c r="DM80" s="427"/>
      <c r="DN80" s="427"/>
      <c r="DO80" s="427"/>
      <c r="DP80" s="427"/>
      <c r="DQ80" s="427"/>
      <c r="DR80" s="427"/>
      <c r="DS80" s="427"/>
      <c r="DT80" s="427"/>
      <c r="DU80" s="427"/>
      <c r="DV80" s="427"/>
      <c r="DW80" s="427"/>
      <c r="DX80" s="427"/>
      <c r="DY80" s="427"/>
      <c r="DZ80" s="427"/>
      <c r="EA80" s="427"/>
      <c r="EB80" s="427"/>
      <c r="EC80" s="427"/>
      <c r="ED80" s="427"/>
      <c r="EE80" s="427"/>
      <c r="EF80" s="427"/>
      <c r="EG80" s="427"/>
      <c r="EH80" s="427"/>
      <c r="EI80" s="427"/>
      <c r="EJ80" s="427"/>
      <c r="EK80" s="427"/>
      <c r="EL80" s="427"/>
      <c r="EM80" s="427"/>
      <c r="EN80" s="427"/>
      <c r="EO80" s="427"/>
      <c r="EP80" s="427"/>
      <c r="EQ80" s="427"/>
      <c r="ER80" s="427"/>
      <c r="ES80" s="427"/>
      <c r="ET80" s="427"/>
      <c r="EU80" s="427"/>
      <c r="EV80" s="427"/>
      <c r="EW80" s="427"/>
      <c r="EX80" s="427"/>
      <c r="EY80" s="427"/>
      <c r="EZ80" s="427"/>
      <c r="FA80" s="427"/>
      <c r="FB80" s="427"/>
      <c r="FC80" s="427"/>
      <c r="FD80" s="427"/>
      <c r="FE80" s="427"/>
      <c r="FF80" s="427"/>
      <c r="FG80" s="427"/>
      <c r="FH80" s="427"/>
      <c r="FI80" s="427"/>
      <c r="FJ80" s="427"/>
      <c r="FK80" s="427"/>
      <c r="FL80" s="427"/>
      <c r="FM80" s="427"/>
      <c r="FN80" s="427"/>
      <c r="FO80" s="427"/>
      <c r="FP80" s="427"/>
      <c r="FQ80" s="427"/>
      <c r="FR80" s="427"/>
      <c r="FS80" s="427"/>
      <c r="FT80" s="427"/>
      <c r="FU80" s="427"/>
      <c r="FV80" s="427"/>
      <c r="FW80" s="427"/>
      <c r="FX80" s="427"/>
      <c r="FY80" s="427"/>
      <c r="FZ80" s="427"/>
      <c r="GA80" s="427"/>
      <c r="GB80" s="427"/>
      <c r="GC80" s="427"/>
      <c r="GD80" s="427"/>
      <c r="GE80" s="427"/>
      <c r="GF80" s="427"/>
      <c r="GG80" s="427"/>
      <c r="GH80" s="427"/>
      <c r="GI80" s="427"/>
      <c r="GJ80" s="427"/>
      <c r="GK80" s="427"/>
      <c r="GL80" s="427"/>
      <c r="GM80" s="427"/>
      <c r="GN80" s="427"/>
      <c r="GO80" s="427"/>
      <c r="GP80" s="427"/>
      <c r="GQ80" s="427"/>
      <c r="GR80" s="427"/>
      <c r="GS80" s="427"/>
      <c r="GT80" s="427"/>
      <c r="GU80" s="427"/>
      <c r="GV80" s="427"/>
      <c r="GW80" s="427"/>
      <c r="GX80" s="427"/>
      <c r="GY80" s="427"/>
      <c r="GZ80" s="427"/>
      <c r="HA80" s="427"/>
      <c r="HB80" s="427"/>
      <c r="HC80" s="427"/>
      <c r="HD80" s="427"/>
      <c r="HE80" s="427"/>
      <c r="HF80" s="427"/>
      <c r="HG80" s="427"/>
      <c r="HH80" s="427"/>
      <c r="HI80" s="427"/>
      <c r="HJ80" s="427"/>
      <c r="HK80" s="427"/>
      <c r="HL80" s="427"/>
      <c r="HM80" s="427"/>
      <c r="HN80" s="427"/>
      <c r="HO80" s="427"/>
      <c r="HP80" s="427"/>
      <c r="HQ80" s="427"/>
      <c r="HR80" s="427"/>
      <c r="HS80" s="427"/>
      <c r="HT80" s="427"/>
      <c r="HU80" s="427"/>
      <c r="HV80" s="427"/>
      <c r="HW80" s="427"/>
      <c r="HX80" s="427"/>
      <c r="HY80" s="427"/>
      <c r="HZ80" s="427"/>
      <c r="IA80" s="427"/>
      <c r="IB80" s="427"/>
      <c r="IC80" s="427"/>
      <c r="ID80" s="427"/>
      <c r="IE80" s="427"/>
      <c r="IF80" s="427"/>
      <c r="IG80" s="427"/>
      <c r="IH80" s="427"/>
      <c r="II80" s="427"/>
      <c r="IJ80" s="427"/>
      <c r="IK80" s="427"/>
      <c r="IL80" s="427"/>
      <c r="IM80" s="427"/>
      <c r="IN80" s="427"/>
      <c r="IO80" s="427"/>
      <c r="IP80" s="427"/>
      <c r="IQ80" s="427"/>
    </row>
    <row r="81" spans="1:251" s="429" customFormat="1" ht="12" customHeight="1">
      <c r="A81" s="225" t="s">
        <v>83</v>
      </c>
      <c r="B81" s="430"/>
      <c r="C81" s="430"/>
      <c r="D81" s="431"/>
      <c r="E81" s="431"/>
      <c r="F81" s="431"/>
      <c r="G81" s="431"/>
      <c r="H81" s="431"/>
      <c r="I81" s="431"/>
      <c r="J81" s="431"/>
      <c r="K81" s="431"/>
      <c r="L81" s="431"/>
      <c r="M81" s="431"/>
      <c r="N81" s="431"/>
      <c r="O81" s="431"/>
      <c r="P81" s="431"/>
      <c r="Q81" s="431"/>
      <c r="R81" s="431"/>
      <c r="S81" s="431"/>
      <c r="T81" s="431"/>
      <c r="U81" s="431"/>
      <c r="V81" s="431"/>
      <c r="W81" s="431"/>
      <c r="X81" s="431"/>
      <c r="Y81" s="431"/>
      <c r="Z81" s="426"/>
      <c r="AA81" s="427"/>
      <c r="AB81" s="427"/>
      <c r="AC81" s="427"/>
      <c r="AD81" s="427"/>
      <c r="AE81" s="427"/>
      <c r="AF81" s="427"/>
      <c r="AG81" s="427"/>
      <c r="AH81" s="427"/>
      <c r="AI81" s="427"/>
      <c r="AJ81" s="427"/>
      <c r="AK81" s="427"/>
      <c r="AL81" s="427"/>
      <c r="AM81" s="427"/>
      <c r="AN81" s="427"/>
      <c r="AO81" s="427"/>
      <c r="AP81" s="427"/>
      <c r="AQ81" s="427"/>
      <c r="AR81" s="427"/>
      <c r="AS81" s="427"/>
      <c r="AT81" s="427"/>
      <c r="AU81" s="427"/>
      <c r="AV81" s="427"/>
      <c r="AW81" s="427"/>
      <c r="AX81" s="427"/>
      <c r="AY81" s="427"/>
      <c r="AZ81" s="427"/>
      <c r="BA81" s="427"/>
      <c r="BB81" s="427"/>
      <c r="BC81" s="427"/>
      <c r="BD81" s="427"/>
      <c r="BE81" s="427"/>
      <c r="BF81" s="427"/>
      <c r="BG81" s="427"/>
      <c r="BH81" s="427"/>
      <c r="BI81" s="427"/>
      <c r="BJ81" s="427"/>
      <c r="BK81" s="427"/>
      <c r="BL81" s="427"/>
      <c r="BM81" s="427"/>
      <c r="BN81" s="427"/>
      <c r="BO81" s="427"/>
      <c r="BP81" s="427"/>
      <c r="BQ81" s="427"/>
      <c r="BR81" s="427"/>
      <c r="BS81" s="427"/>
      <c r="BT81" s="427"/>
      <c r="BU81" s="427"/>
      <c r="BV81" s="427"/>
      <c r="BW81" s="427"/>
      <c r="BX81" s="427"/>
      <c r="BY81" s="427"/>
      <c r="BZ81" s="427"/>
      <c r="CA81" s="427"/>
      <c r="CB81" s="427"/>
      <c r="CC81" s="427"/>
      <c r="CD81" s="427"/>
      <c r="CE81" s="427"/>
      <c r="CF81" s="427"/>
      <c r="CG81" s="427"/>
      <c r="CH81" s="427"/>
      <c r="CI81" s="427"/>
      <c r="CJ81" s="427"/>
      <c r="CK81" s="427"/>
      <c r="CL81" s="427"/>
      <c r="CM81" s="427"/>
      <c r="CN81" s="427"/>
      <c r="CO81" s="427"/>
      <c r="CP81" s="427"/>
      <c r="CQ81" s="427"/>
      <c r="CR81" s="427"/>
      <c r="CS81" s="427"/>
      <c r="CT81" s="427"/>
      <c r="CU81" s="427"/>
      <c r="CV81" s="427"/>
      <c r="CW81" s="427"/>
      <c r="CX81" s="427"/>
      <c r="CY81" s="427"/>
      <c r="CZ81" s="427"/>
      <c r="DA81" s="427"/>
      <c r="DB81" s="427"/>
      <c r="DC81" s="427"/>
      <c r="DD81" s="427"/>
      <c r="DE81" s="427"/>
      <c r="DF81" s="427"/>
      <c r="DG81" s="427"/>
      <c r="DH81" s="427"/>
      <c r="DI81" s="427"/>
      <c r="DJ81" s="427"/>
      <c r="DK81" s="427"/>
      <c r="DL81" s="427"/>
      <c r="DM81" s="427"/>
      <c r="DN81" s="427"/>
      <c r="DO81" s="427"/>
      <c r="DP81" s="427"/>
      <c r="DQ81" s="427"/>
      <c r="DR81" s="427"/>
      <c r="DS81" s="427"/>
      <c r="DT81" s="427"/>
      <c r="DU81" s="427"/>
      <c r="DV81" s="427"/>
      <c r="DW81" s="427"/>
      <c r="DX81" s="427"/>
      <c r="DY81" s="427"/>
      <c r="DZ81" s="427"/>
      <c r="EA81" s="427"/>
      <c r="EB81" s="427"/>
      <c r="EC81" s="427"/>
      <c r="ED81" s="427"/>
      <c r="EE81" s="427"/>
      <c r="EF81" s="427"/>
      <c r="EG81" s="427"/>
      <c r="EH81" s="427"/>
      <c r="EI81" s="427"/>
      <c r="EJ81" s="427"/>
      <c r="EK81" s="427"/>
      <c r="EL81" s="427"/>
      <c r="EM81" s="427"/>
      <c r="EN81" s="427"/>
      <c r="EO81" s="427"/>
      <c r="EP81" s="427"/>
      <c r="EQ81" s="427"/>
      <c r="ER81" s="427"/>
      <c r="ES81" s="427"/>
      <c r="ET81" s="427"/>
      <c r="EU81" s="427"/>
      <c r="EV81" s="427"/>
      <c r="EW81" s="427"/>
      <c r="EX81" s="427"/>
      <c r="EY81" s="427"/>
      <c r="EZ81" s="427"/>
      <c r="FA81" s="427"/>
      <c r="FB81" s="427"/>
      <c r="FC81" s="427"/>
      <c r="FD81" s="427"/>
      <c r="FE81" s="427"/>
      <c r="FF81" s="427"/>
      <c r="FG81" s="427"/>
      <c r="FH81" s="427"/>
      <c r="FI81" s="427"/>
      <c r="FJ81" s="427"/>
      <c r="FK81" s="427"/>
      <c r="FL81" s="427"/>
      <c r="FM81" s="427"/>
      <c r="FN81" s="427"/>
      <c r="FO81" s="427"/>
      <c r="FP81" s="427"/>
      <c r="FQ81" s="427"/>
      <c r="FR81" s="427"/>
      <c r="FS81" s="427"/>
      <c r="FT81" s="427"/>
      <c r="FU81" s="427"/>
      <c r="FV81" s="427"/>
      <c r="FW81" s="427"/>
      <c r="FX81" s="427"/>
      <c r="FY81" s="427"/>
      <c r="FZ81" s="427"/>
      <c r="GA81" s="427"/>
      <c r="GB81" s="427"/>
      <c r="GC81" s="427"/>
      <c r="GD81" s="427"/>
      <c r="GE81" s="427"/>
      <c r="GF81" s="427"/>
      <c r="GG81" s="427"/>
      <c r="GH81" s="427"/>
      <c r="GI81" s="427"/>
      <c r="GJ81" s="427"/>
      <c r="GK81" s="427"/>
      <c r="GL81" s="427"/>
      <c r="GM81" s="427"/>
      <c r="GN81" s="427"/>
      <c r="GO81" s="427"/>
      <c r="GP81" s="427"/>
      <c r="GQ81" s="427"/>
      <c r="GR81" s="427"/>
      <c r="GS81" s="427"/>
      <c r="GT81" s="427"/>
      <c r="GU81" s="427"/>
      <c r="GV81" s="427"/>
      <c r="GW81" s="427"/>
      <c r="GX81" s="427"/>
      <c r="GY81" s="427"/>
      <c r="GZ81" s="427"/>
      <c r="HA81" s="427"/>
      <c r="HB81" s="427"/>
      <c r="HC81" s="427"/>
      <c r="HD81" s="427"/>
      <c r="HE81" s="427"/>
      <c r="HF81" s="427"/>
      <c r="HG81" s="427"/>
      <c r="HH81" s="427"/>
      <c r="HI81" s="427"/>
      <c r="HJ81" s="427"/>
      <c r="HK81" s="427"/>
      <c r="HL81" s="427"/>
      <c r="HM81" s="427"/>
      <c r="HN81" s="427"/>
      <c r="HO81" s="427"/>
      <c r="HP81" s="427"/>
      <c r="HQ81" s="427"/>
      <c r="HR81" s="427"/>
      <c r="HS81" s="427"/>
      <c r="HT81" s="427"/>
      <c r="HU81" s="427"/>
      <c r="HV81" s="427"/>
      <c r="HW81" s="427"/>
      <c r="HX81" s="427"/>
      <c r="HY81" s="427"/>
      <c r="HZ81" s="427"/>
      <c r="IA81" s="427"/>
      <c r="IB81" s="427"/>
      <c r="IC81" s="427"/>
      <c r="ID81" s="427"/>
      <c r="IE81" s="427"/>
      <c r="IF81" s="427"/>
      <c r="IG81" s="427"/>
      <c r="IH81" s="427"/>
      <c r="II81" s="427"/>
      <c r="IJ81" s="427"/>
      <c r="IK81" s="427"/>
      <c r="IL81" s="427"/>
      <c r="IM81" s="427"/>
      <c r="IN81" s="427"/>
      <c r="IO81" s="427"/>
      <c r="IP81" s="427"/>
      <c r="IQ81" s="427"/>
    </row>
    <row r="82" spans="1:251" s="429" customFormat="1" ht="12" customHeight="1">
      <c r="A82" s="225"/>
      <c r="B82" s="430"/>
      <c r="C82" s="430"/>
      <c r="D82" s="431"/>
      <c r="E82" s="431"/>
      <c r="F82" s="431"/>
      <c r="G82" s="431"/>
      <c r="H82" s="431"/>
      <c r="I82" s="431"/>
      <c r="J82" s="431"/>
      <c r="K82" s="431"/>
      <c r="L82" s="431"/>
      <c r="M82" s="431"/>
      <c r="N82" s="431"/>
      <c r="O82" s="431"/>
      <c r="P82" s="431"/>
      <c r="Q82" s="431"/>
      <c r="R82" s="431"/>
      <c r="S82" s="431"/>
      <c r="T82" s="431"/>
      <c r="U82" s="431"/>
      <c r="V82" s="431"/>
      <c r="W82" s="431"/>
      <c r="X82" s="431"/>
      <c r="Y82" s="431"/>
      <c r="Z82" s="426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  <c r="AS82" s="427"/>
      <c r="AT82" s="427"/>
      <c r="AU82" s="427"/>
      <c r="AV82" s="427"/>
      <c r="AW82" s="427"/>
      <c r="AX82" s="427"/>
      <c r="AY82" s="427"/>
      <c r="AZ82" s="427"/>
      <c r="BA82" s="427"/>
      <c r="BB82" s="427"/>
      <c r="BC82" s="427"/>
      <c r="BD82" s="427"/>
      <c r="BE82" s="427"/>
      <c r="BF82" s="427"/>
      <c r="BG82" s="427"/>
      <c r="BH82" s="427"/>
      <c r="BI82" s="427"/>
      <c r="BJ82" s="427"/>
      <c r="BK82" s="427"/>
      <c r="BL82" s="427"/>
      <c r="BM82" s="427"/>
      <c r="BN82" s="427"/>
      <c r="BO82" s="427"/>
      <c r="BP82" s="427"/>
      <c r="BQ82" s="427"/>
      <c r="BR82" s="427"/>
      <c r="BS82" s="427"/>
      <c r="BT82" s="427"/>
      <c r="BU82" s="427"/>
      <c r="BV82" s="427"/>
      <c r="BW82" s="427"/>
      <c r="BX82" s="427"/>
      <c r="BY82" s="427"/>
      <c r="BZ82" s="427"/>
      <c r="CA82" s="427"/>
      <c r="CB82" s="427"/>
      <c r="CC82" s="427"/>
      <c r="CD82" s="427"/>
      <c r="CE82" s="427"/>
      <c r="CF82" s="427"/>
      <c r="CG82" s="427"/>
      <c r="CH82" s="427"/>
      <c r="CI82" s="427"/>
      <c r="CJ82" s="427"/>
      <c r="CK82" s="427"/>
      <c r="CL82" s="427"/>
      <c r="CM82" s="427"/>
      <c r="CN82" s="427"/>
      <c r="CO82" s="427"/>
      <c r="CP82" s="427"/>
      <c r="CQ82" s="427"/>
      <c r="CR82" s="427"/>
      <c r="CS82" s="427"/>
      <c r="CT82" s="427"/>
      <c r="CU82" s="427"/>
      <c r="CV82" s="427"/>
      <c r="CW82" s="427"/>
      <c r="CX82" s="427"/>
      <c r="CY82" s="427"/>
      <c r="CZ82" s="427"/>
      <c r="DA82" s="427"/>
      <c r="DB82" s="427"/>
      <c r="DC82" s="427"/>
      <c r="DD82" s="427"/>
      <c r="DE82" s="427"/>
      <c r="DF82" s="427"/>
      <c r="DG82" s="427"/>
      <c r="DH82" s="427"/>
      <c r="DI82" s="427"/>
      <c r="DJ82" s="427"/>
      <c r="DK82" s="427"/>
      <c r="DL82" s="427"/>
      <c r="DM82" s="427"/>
      <c r="DN82" s="427"/>
      <c r="DO82" s="427"/>
      <c r="DP82" s="427"/>
      <c r="DQ82" s="427"/>
      <c r="DR82" s="427"/>
      <c r="DS82" s="427"/>
      <c r="DT82" s="427"/>
      <c r="DU82" s="427"/>
      <c r="DV82" s="427"/>
      <c r="DW82" s="427"/>
      <c r="DX82" s="427"/>
      <c r="DY82" s="427"/>
      <c r="DZ82" s="427"/>
      <c r="EA82" s="427"/>
      <c r="EB82" s="427"/>
      <c r="EC82" s="427"/>
      <c r="ED82" s="427"/>
      <c r="EE82" s="427"/>
      <c r="EF82" s="427"/>
      <c r="EG82" s="427"/>
      <c r="EH82" s="427"/>
      <c r="EI82" s="427"/>
      <c r="EJ82" s="427"/>
      <c r="EK82" s="427"/>
      <c r="EL82" s="427"/>
      <c r="EM82" s="427"/>
      <c r="EN82" s="427"/>
      <c r="EO82" s="427"/>
      <c r="EP82" s="427"/>
      <c r="EQ82" s="427"/>
      <c r="ER82" s="427"/>
      <c r="ES82" s="427"/>
      <c r="ET82" s="427"/>
      <c r="EU82" s="427"/>
      <c r="EV82" s="427"/>
      <c r="EW82" s="427"/>
      <c r="EX82" s="427"/>
      <c r="EY82" s="427"/>
      <c r="EZ82" s="427"/>
      <c r="FA82" s="427"/>
      <c r="FB82" s="427"/>
      <c r="FC82" s="427"/>
      <c r="FD82" s="427"/>
      <c r="FE82" s="427"/>
      <c r="FF82" s="427"/>
      <c r="FG82" s="427"/>
      <c r="FH82" s="427"/>
      <c r="FI82" s="427"/>
      <c r="FJ82" s="427"/>
      <c r="FK82" s="427"/>
      <c r="FL82" s="427"/>
      <c r="FM82" s="427"/>
      <c r="FN82" s="427"/>
      <c r="FO82" s="427"/>
      <c r="FP82" s="427"/>
      <c r="FQ82" s="427"/>
      <c r="FR82" s="427"/>
      <c r="FS82" s="427"/>
      <c r="FT82" s="427"/>
      <c r="FU82" s="427"/>
      <c r="FV82" s="427"/>
      <c r="FW82" s="427"/>
      <c r="FX82" s="427"/>
      <c r="FY82" s="427"/>
      <c r="FZ82" s="427"/>
      <c r="GA82" s="427"/>
      <c r="GB82" s="427"/>
      <c r="GC82" s="427"/>
      <c r="GD82" s="427"/>
      <c r="GE82" s="427"/>
      <c r="GF82" s="427"/>
      <c r="GG82" s="427"/>
      <c r="GH82" s="427"/>
      <c r="GI82" s="427"/>
      <c r="GJ82" s="427"/>
      <c r="GK82" s="427"/>
      <c r="GL82" s="427"/>
      <c r="GM82" s="427"/>
      <c r="GN82" s="427"/>
      <c r="GO82" s="427"/>
      <c r="GP82" s="427"/>
      <c r="GQ82" s="427"/>
      <c r="GR82" s="427"/>
      <c r="GS82" s="427"/>
      <c r="GT82" s="427"/>
      <c r="GU82" s="427"/>
      <c r="GV82" s="427"/>
      <c r="GW82" s="427"/>
      <c r="GX82" s="427"/>
      <c r="GY82" s="427"/>
      <c r="GZ82" s="427"/>
      <c r="HA82" s="427"/>
      <c r="HB82" s="427"/>
      <c r="HC82" s="427"/>
      <c r="HD82" s="427"/>
      <c r="HE82" s="427"/>
      <c r="HF82" s="427"/>
      <c r="HG82" s="427"/>
      <c r="HH82" s="427"/>
      <c r="HI82" s="427"/>
      <c r="HJ82" s="427"/>
      <c r="HK82" s="427"/>
      <c r="HL82" s="427"/>
      <c r="HM82" s="427"/>
      <c r="HN82" s="427"/>
      <c r="HO82" s="427"/>
      <c r="HP82" s="427"/>
      <c r="HQ82" s="427"/>
      <c r="HR82" s="427"/>
      <c r="HS82" s="427"/>
      <c r="HT82" s="427"/>
      <c r="HU82" s="427"/>
      <c r="HV82" s="427"/>
      <c r="HW82" s="427"/>
      <c r="HX82" s="427"/>
      <c r="HY82" s="427"/>
      <c r="HZ82" s="427"/>
      <c r="IA82" s="427"/>
      <c r="IB82" s="427"/>
      <c r="IC82" s="427"/>
      <c r="ID82" s="427"/>
      <c r="IE82" s="427"/>
      <c r="IF82" s="427"/>
      <c r="IG82" s="427"/>
      <c r="IH82" s="427"/>
      <c r="II82" s="427"/>
      <c r="IJ82" s="427"/>
      <c r="IK82" s="427"/>
      <c r="IL82" s="427"/>
      <c r="IM82" s="427"/>
      <c r="IN82" s="427"/>
      <c r="IO82" s="427"/>
      <c r="IP82" s="427"/>
      <c r="IQ82" s="427"/>
    </row>
    <row r="83" spans="1:251" outlineLevel="1">
      <c r="A83" s="21" t="s">
        <v>271</v>
      </c>
      <c r="B83" s="20">
        <f>B39-B12</f>
        <v>-2096.9980725898677</v>
      </c>
      <c r="C83" s="20">
        <f>C39-C12</f>
        <v>-1824.3792242068375</v>
      </c>
      <c r="D83" s="20">
        <f>D39-D12</f>
        <v>-1516.9979897294725</v>
      </c>
      <c r="E83" s="20">
        <f t="shared" ref="E83:U83" si="20">E39</f>
        <v>18184.186640688687</v>
      </c>
      <c r="F83" s="20">
        <f t="shared" si="20"/>
        <v>20941.568646623939</v>
      </c>
      <c r="G83" s="20">
        <f t="shared" si="20"/>
        <v>22517.592221766172</v>
      </c>
      <c r="H83" s="20">
        <f t="shared" si="20"/>
        <v>24202.082919133409</v>
      </c>
      <c r="I83" s="20">
        <f t="shared" si="20"/>
        <v>25937.965303737041</v>
      </c>
      <c r="J83" s="20">
        <f t="shared" si="20"/>
        <v>27870.777454816023</v>
      </c>
      <c r="K83" s="20">
        <f t="shared" si="20"/>
        <v>29921.766941800081</v>
      </c>
      <c r="L83" s="20">
        <f t="shared" si="20"/>
        <v>32017.312511043834</v>
      </c>
      <c r="M83" s="20">
        <f t="shared" si="20"/>
        <v>34228.15570167813</v>
      </c>
      <c r="N83" s="20">
        <f t="shared" si="20"/>
        <v>36516.267870074575</v>
      </c>
      <c r="O83" s="20">
        <f t="shared" si="20"/>
        <v>38795.698089247031</v>
      </c>
      <c r="P83" s="20">
        <f t="shared" si="20"/>
        <v>41110.53482029782</v>
      </c>
      <c r="Q83" s="20">
        <f t="shared" si="20"/>
        <v>43219.931642314368</v>
      </c>
      <c r="R83" s="20">
        <f t="shared" si="20"/>
        <v>45416.649034991038</v>
      </c>
      <c r="S83" s="20">
        <f t="shared" si="20"/>
        <v>47549.819846069433</v>
      </c>
      <c r="T83" s="20">
        <f t="shared" si="20"/>
        <v>49517.502580984023</v>
      </c>
      <c r="U83" s="20">
        <f t="shared" si="20"/>
        <v>51494.727123826357</v>
      </c>
      <c r="W83" s="420">
        <f>SUM(B83:U83)</f>
        <v>584004.16406256577</v>
      </c>
    </row>
    <row r="84" spans="1:251" outlineLevel="1">
      <c r="A84" s="21" t="s">
        <v>132</v>
      </c>
      <c r="B84" s="20">
        <f>B33</f>
        <v>11019.158120067157</v>
      </c>
      <c r="C84" s="20">
        <f t="shared" ref="C84:U84" si="21">C33</f>
        <v>11019.158120067157</v>
      </c>
      <c r="D84" s="20">
        <f t="shared" si="21"/>
        <v>11019.158120067157</v>
      </c>
      <c r="E84" s="20">
        <f t="shared" si="21"/>
        <v>11019.158120067157</v>
      </c>
      <c r="F84" s="20">
        <f t="shared" si="21"/>
        <v>11019.158120067157</v>
      </c>
      <c r="G84" s="20">
        <f t="shared" si="21"/>
        <v>11019.158120067157</v>
      </c>
      <c r="H84" s="20">
        <f t="shared" si="21"/>
        <v>11019.158120067157</v>
      </c>
      <c r="I84" s="20">
        <f t="shared" si="21"/>
        <v>11019.158120067157</v>
      </c>
      <c r="J84" s="20">
        <f t="shared" si="21"/>
        <v>11019.158120067157</v>
      </c>
      <c r="K84" s="20">
        <f t="shared" si="21"/>
        <v>11019.158120067157</v>
      </c>
      <c r="L84" s="20">
        <f t="shared" si="21"/>
        <v>11019.158120067157</v>
      </c>
      <c r="M84" s="20">
        <f t="shared" si="21"/>
        <v>11019.158120067157</v>
      </c>
      <c r="N84" s="20">
        <f t="shared" si="21"/>
        <v>11019.158120067157</v>
      </c>
      <c r="O84" s="20">
        <f t="shared" si="21"/>
        <v>11019.158120067157</v>
      </c>
      <c r="P84" s="20">
        <f t="shared" si="21"/>
        <v>11019.158120067157</v>
      </c>
      <c r="Q84" s="20">
        <f t="shared" si="21"/>
        <v>11019.158120067157</v>
      </c>
      <c r="R84" s="20">
        <f t="shared" si="21"/>
        <v>11019.158120067157</v>
      </c>
      <c r="S84" s="20">
        <f t="shared" si="21"/>
        <v>11019.158120067157</v>
      </c>
      <c r="T84" s="20">
        <f t="shared" si="21"/>
        <v>11019.158120067157</v>
      </c>
      <c r="U84" s="20">
        <f t="shared" si="21"/>
        <v>11019.158120067157</v>
      </c>
      <c r="W84" s="420">
        <f>SUM(B84:U84)</f>
        <v>220383.16240134306</v>
      </c>
    </row>
    <row r="85" spans="1:251" ht="15" outlineLevel="1">
      <c r="A85" s="21" t="s">
        <v>200</v>
      </c>
      <c r="B85" s="228">
        <f>-Depreciation!C99</f>
        <v>-16495.644410247987</v>
      </c>
      <c r="C85" s="228">
        <f>-Depreciation!D99</f>
        <v>-31341.724379471176</v>
      </c>
      <c r="D85" s="228">
        <f>-Depreciation!E99</f>
        <v>-28207.55194152406</v>
      </c>
      <c r="E85" s="228">
        <f>-Depreciation!F99</f>
        <v>-25403.292391781899</v>
      </c>
      <c r="F85" s="228">
        <f>-Depreciation!G99</f>
        <v>-22862.963152603712</v>
      </c>
      <c r="G85" s="228">
        <f>-Depreciation!H99</f>
        <v>-20553.572935168992</v>
      </c>
      <c r="H85" s="228">
        <f>-Depreciation!I99</f>
        <v>-19464.860404092626</v>
      </c>
      <c r="I85" s="228">
        <f>-Depreciation!J99</f>
        <v>-19497.851692913122</v>
      </c>
      <c r="J85" s="228">
        <f>-Depreciation!K99</f>
        <v>-19464.860404092626</v>
      </c>
      <c r="K85" s="228">
        <f>-Depreciation!L99</f>
        <v>-19497.851692913122</v>
      </c>
      <c r="L85" s="228">
        <f>-Depreciation!M99</f>
        <v>-19464.860404092626</v>
      </c>
      <c r="M85" s="228">
        <f>-Depreciation!N99</f>
        <v>-19497.851692913122</v>
      </c>
      <c r="N85" s="228">
        <f>-Depreciation!O99</f>
        <v>-19464.860404092626</v>
      </c>
      <c r="O85" s="228">
        <f>-Depreciation!P99</f>
        <v>-19497.851692913122</v>
      </c>
      <c r="P85" s="228">
        <f>-Depreciation!Q99</f>
        <v>-19464.860404092626</v>
      </c>
      <c r="Q85" s="228">
        <f>-Depreciation!R99</f>
        <v>-9732.4302020463128</v>
      </c>
      <c r="R85" s="228">
        <f>-Depreciation!S99</f>
        <v>0</v>
      </c>
      <c r="S85" s="228">
        <f>-Depreciation!T99</f>
        <v>0</v>
      </c>
      <c r="T85" s="228">
        <f>-Depreciation!U99</f>
        <v>0</v>
      </c>
      <c r="U85" s="228">
        <f>-Depreciation!V99</f>
        <v>0</v>
      </c>
      <c r="W85" s="421">
        <f>SUM(B85:U85)</f>
        <v>-329912.88820495975</v>
      </c>
    </row>
    <row r="86" spans="1:251" outlineLevel="1">
      <c r="A86" s="227" t="s">
        <v>131</v>
      </c>
      <c r="B86" s="22">
        <f t="shared" ref="B86:U86" si="22">SUM(B83:B85)</f>
        <v>-7573.4843627706978</v>
      </c>
      <c r="C86" s="22">
        <f t="shared" si="22"/>
        <v>-22146.945483610856</v>
      </c>
      <c r="D86" s="22">
        <f t="shared" si="22"/>
        <v>-18705.391811186375</v>
      </c>
      <c r="E86" s="22">
        <f t="shared" si="22"/>
        <v>3800.0523689739457</v>
      </c>
      <c r="F86" s="22">
        <f t="shared" si="22"/>
        <v>9097.7636140873838</v>
      </c>
      <c r="G86" s="22">
        <f t="shared" si="22"/>
        <v>12983.177406664337</v>
      </c>
      <c r="H86" s="22">
        <f t="shared" si="22"/>
        <v>15756.380635107944</v>
      </c>
      <c r="I86" s="22">
        <f t="shared" si="22"/>
        <v>17459.271730891072</v>
      </c>
      <c r="J86" s="22">
        <f t="shared" si="22"/>
        <v>19425.075170790555</v>
      </c>
      <c r="K86" s="22">
        <f t="shared" si="22"/>
        <v>21443.073368954116</v>
      </c>
      <c r="L86" s="22">
        <f t="shared" si="22"/>
        <v>23571.610227018366</v>
      </c>
      <c r="M86" s="22">
        <f t="shared" si="22"/>
        <v>25749.462128832165</v>
      </c>
      <c r="N86" s="22">
        <f t="shared" si="22"/>
        <v>28070.565586049106</v>
      </c>
      <c r="O86" s="22">
        <f t="shared" si="22"/>
        <v>30317.004516401066</v>
      </c>
      <c r="P86" s="22">
        <f t="shared" si="22"/>
        <v>32664.832536272352</v>
      </c>
      <c r="Q86" s="22">
        <f t="shared" si="22"/>
        <v>44506.659560335211</v>
      </c>
      <c r="R86" s="22">
        <f t="shared" si="22"/>
        <v>56435.807155058195</v>
      </c>
      <c r="S86" s="22">
        <f t="shared" si="22"/>
        <v>58568.97796613659</v>
      </c>
      <c r="T86" s="22">
        <f t="shared" si="22"/>
        <v>60536.66070105118</v>
      </c>
      <c r="U86" s="22">
        <f t="shared" si="22"/>
        <v>62513.885243893514</v>
      </c>
      <c r="W86" s="420">
        <f>SUM(B86:U86)</f>
        <v>474474.4382589492</v>
      </c>
    </row>
    <row r="87" spans="1:251" outlineLevel="1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</row>
    <row r="88" spans="1:251" outlineLevel="1">
      <c r="A88" s="21" t="s">
        <v>39</v>
      </c>
      <c r="B88" s="418">
        <f>Assumptions!$I$38</f>
        <v>7.1800000000000003E-2</v>
      </c>
      <c r="C88" s="418">
        <f>Assumptions!$I$38</f>
        <v>7.1800000000000003E-2</v>
      </c>
      <c r="D88" s="418">
        <f>Assumptions!$I$38</f>
        <v>7.1800000000000003E-2</v>
      </c>
      <c r="E88" s="418">
        <f>Assumptions!$I$38</f>
        <v>7.1800000000000003E-2</v>
      </c>
      <c r="F88" s="418">
        <f>Assumptions!$I$38</f>
        <v>7.1800000000000003E-2</v>
      </c>
      <c r="G88" s="418">
        <f>Assumptions!$I$38</f>
        <v>7.1800000000000003E-2</v>
      </c>
      <c r="H88" s="418">
        <f>Assumptions!$I$38</f>
        <v>7.1800000000000003E-2</v>
      </c>
      <c r="I88" s="418">
        <f>Assumptions!$I$38</f>
        <v>7.1800000000000003E-2</v>
      </c>
      <c r="J88" s="418">
        <f>Assumptions!$I$38</f>
        <v>7.1800000000000003E-2</v>
      </c>
      <c r="K88" s="418">
        <f>Assumptions!$I$38</f>
        <v>7.1800000000000003E-2</v>
      </c>
      <c r="L88" s="418">
        <f>Assumptions!$I$38</f>
        <v>7.1800000000000003E-2</v>
      </c>
      <c r="M88" s="418">
        <f>Assumptions!$I$38</f>
        <v>7.1800000000000003E-2</v>
      </c>
      <c r="N88" s="418">
        <f>Assumptions!$I$38</f>
        <v>7.1800000000000003E-2</v>
      </c>
      <c r="O88" s="418">
        <f>Assumptions!$I$38</f>
        <v>7.1800000000000003E-2</v>
      </c>
      <c r="P88" s="418">
        <f>Assumptions!$I$38</f>
        <v>7.1800000000000003E-2</v>
      </c>
      <c r="Q88" s="418">
        <f>Assumptions!$I$38</f>
        <v>7.1800000000000003E-2</v>
      </c>
      <c r="R88" s="418">
        <f>Assumptions!$I$38</f>
        <v>7.1800000000000003E-2</v>
      </c>
      <c r="S88" s="418">
        <f>Assumptions!$I$38</f>
        <v>7.1800000000000003E-2</v>
      </c>
      <c r="T88" s="418">
        <f>Assumptions!$I$38</f>
        <v>7.1800000000000003E-2</v>
      </c>
      <c r="U88" s="418">
        <f>Assumptions!$I$38</f>
        <v>7.1800000000000003E-2</v>
      </c>
    </row>
    <row r="89" spans="1:251" outlineLevel="1">
      <c r="A89" s="21" t="s">
        <v>133</v>
      </c>
      <c r="B89" s="20">
        <f>B86*B88</f>
        <v>-543.77617724693607</v>
      </c>
      <c r="C89" s="20">
        <f t="shared" ref="C89:U89" si="23">C86*C88</f>
        <v>-1590.1506857232596</v>
      </c>
      <c r="D89" s="20">
        <f t="shared" si="23"/>
        <v>-1343.0471320431818</v>
      </c>
      <c r="E89" s="20">
        <f t="shared" si="23"/>
        <v>272.84376009232932</v>
      </c>
      <c r="F89" s="20">
        <f t="shared" si="23"/>
        <v>653.21942749147422</v>
      </c>
      <c r="G89" s="20">
        <f t="shared" si="23"/>
        <v>932.19213779849952</v>
      </c>
      <c r="H89" s="20">
        <f t="shared" si="23"/>
        <v>1131.3081296007504</v>
      </c>
      <c r="I89" s="20">
        <f t="shared" si="23"/>
        <v>1253.5757102779789</v>
      </c>
      <c r="J89" s="20">
        <f t="shared" si="23"/>
        <v>1394.7203972627619</v>
      </c>
      <c r="K89" s="20">
        <f t="shared" si="23"/>
        <v>1539.6126678909056</v>
      </c>
      <c r="L89" s="20">
        <f t="shared" si="23"/>
        <v>1692.4416142999187</v>
      </c>
      <c r="M89" s="20">
        <f t="shared" si="23"/>
        <v>1848.8113808501496</v>
      </c>
      <c r="N89" s="20">
        <f t="shared" si="23"/>
        <v>2015.466609078326</v>
      </c>
      <c r="O89" s="20">
        <f t="shared" si="23"/>
        <v>2176.7609242775966</v>
      </c>
      <c r="P89" s="20">
        <f t="shared" si="23"/>
        <v>2345.3349761043551</v>
      </c>
      <c r="Q89" s="20">
        <f t="shared" si="23"/>
        <v>3195.5781564320682</v>
      </c>
      <c r="R89" s="20">
        <f t="shared" si="23"/>
        <v>4052.0909537331786</v>
      </c>
      <c r="S89" s="20">
        <f t="shared" si="23"/>
        <v>4205.2526179686074</v>
      </c>
      <c r="T89" s="20">
        <f t="shared" si="23"/>
        <v>4346.5322383354751</v>
      </c>
      <c r="U89" s="20">
        <f t="shared" si="23"/>
        <v>4488.4969605115548</v>
      </c>
    </row>
    <row r="90" spans="1:251" outlineLevel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251" outlineLevel="1">
      <c r="A91" s="21" t="s">
        <v>134</v>
      </c>
      <c r="B91" s="20">
        <v>0</v>
      </c>
      <c r="C91" s="20">
        <f t="shared" ref="C91:U91" si="24">B95</f>
        <v>543.77617724693607</v>
      </c>
      <c r="D91" s="20">
        <f t="shared" si="24"/>
        <v>2133.9268629701955</v>
      </c>
      <c r="E91" s="20">
        <f t="shared" si="24"/>
        <v>3476.9739950133771</v>
      </c>
      <c r="F91" s="20">
        <f t="shared" si="24"/>
        <v>3204.1302349210478</v>
      </c>
      <c r="G91" s="20">
        <f t="shared" si="24"/>
        <v>2550.9108074295737</v>
      </c>
      <c r="H91" s="20">
        <f t="shared" si="24"/>
        <v>1618.7186696310741</v>
      </c>
      <c r="I91" s="20">
        <f t="shared" si="24"/>
        <v>487.41054003032377</v>
      </c>
      <c r="J91" s="20">
        <f t="shared" si="24"/>
        <v>0</v>
      </c>
      <c r="K91" s="20">
        <f t="shared" si="24"/>
        <v>0</v>
      </c>
      <c r="L91" s="20">
        <f t="shared" si="24"/>
        <v>0</v>
      </c>
      <c r="M91" s="20">
        <f t="shared" si="24"/>
        <v>0</v>
      </c>
      <c r="N91" s="20">
        <f>M95</f>
        <v>0</v>
      </c>
      <c r="O91" s="20">
        <f t="shared" si="24"/>
        <v>0</v>
      </c>
      <c r="P91" s="20">
        <f t="shared" si="24"/>
        <v>0</v>
      </c>
      <c r="Q91" s="20">
        <f t="shared" si="24"/>
        <v>0</v>
      </c>
      <c r="R91" s="20">
        <v>0</v>
      </c>
      <c r="S91" s="20">
        <f t="shared" si="24"/>
        <v>0</v>
      </c>
      <c r="T91" s="20">
        <f t="shared" si="24"/>
        <v>0</v>
      </c>
      <c r="U91" s="20">
        <f t="shared" si="24"/>
        <v>0</v>
      </c>
    </row>
    <row r="92" spans="1:251" outlineLevel="1">
      <c r="A92" s="21" t="s">
        <v>135</v>
      </c>
      <c r="B92" s="239">
        <f t="shared" ref="B92:U92" si="25">IF(B68&gt;2020,0,IF(B89&lt;0,-B89,0))</f>
        <v>543.77617724693607</v>
      </c>
      <c r="C92" s="239">
        <f t="shared" si="25"/>
        <v>1590.1506857232596</v>
      </c>
      <c r="D92" s="239">
        <f t="shared" si="25"/>
        <v>1343.0471320431818</v>
      </c>
      <c r="E92" s="239">
        <f t="shared" si="25"/>
        <v>0</v>
      </c>
      <c r="F92" s="239">
        <f t="shared" si="25"/>
        <v>0</v>
      </c>
      <c r="G92" s="239">
        <f t="shared" si="25"/>
        <v>0</v>
      </c>
      <c r="H92" s="239">
        <f t="shared" si="25"/>
        <v>0</v>
      </c>
      <c r="I92" s="239">
        <f t="shared" si="25"/>
        <v>0</v>
      </c>
      <c r="J92" s="239">
        <f t="shared" si="25"/>
        <v>0</v>
      </c>
      <c r="K92" s="239">
        <f t="shared" si="25"/>
        <v>0</v>
      </c>
      <c r="L92" s="239">
        <f t="shared" si="25"/>
        <v>0</v>
      </c>
      <c r="M92" s="239">
        <f t="shared" si="25"/>
        <v>0</v>
      </c>
      <c r="N92" s="239">
        <f t="shared" si="25"/>
        <v>0</v>
      </c>
      <c r="O92" s="239">
        <f t="shared" si="25"/>
        <v>0</v>
      </c>
      <c r="P92" s="239">
        <f t="shared" si="25"/>
        <v>0</v>
      </c>
      <c r="Q92" s="239">
        <f t="shared" si="25"/>
        <v>0</v>
      </c>
      <c r="R92" s="239">
        <f t="shared" si="25"/>
        <v>0</v>
      </c>
      <c r="S92" s="239">
        <f t="shared" si="25"/>
        <v>0</v>
      </c>
      <c r="T92" s="239">
        <f t="shared" si="25"/>
        <v>0</v>
      </c>
      <c r="U92" s="239">
        <f t="shared" si="25"/>
        <v>0</v>
      </c>
    </row>
    <row r="93" spans="1:251" outlineLevel="1">
      <c r="A93" s="21" t="s">
        <v>136</v>
      </c>
      <c r="B93" s="229">
        <v>0</v>
      </c>
      <c r="C93" s="229">
        <v>0</v>
      </c>
      <c r="D93" s="229">
        <v>0</v>
      </c>
      <c r="E93" s="229">
        <v>0</v>
      </c>
      <c r="F93" s="229">
        <v>0</v>
      </c>
      <c r="G93" s="229">
        <v>0</v>
      </c>
      <c r="H93" s="229">
        <v>0</v>
      </c>
      <c r="I93" s="229">
        <v>0</v>
      </c>
      <c r="J93" s="229">
        <v>0</v>
      </c>
      <c r="K93" s="229">
        <v>0</v>
      </c>
      <c r="L93" s="229">
        <v>0</v>
      </c>
      <c r="M93" s="229">
        <v>0</v>
      </c>
      <c r="N93" s="229">
        <v>0</v>
      </c>
      <c r="O93" s="229">
        <v>0</v>
      </c>
      <c r="P93" s="229">
        <v>0</v>
      </c>
      <c r="Q93" s="229">
        <v>0</v>
      </c>
      <c r="R93" s="229">
        <v>0</v>
      </c>
      <c r="S93" s="229">
        <v>0</v>
      </c>
      <c r="T93" s="20">
        <f>IF(L92&gt;(SUM(M94:S94)+SUM(L93:S93))*-1,L92-(SUM(L94:S94)+SUM(L93:S93))*-1,0)</f>
        <v>0</v>
      </c>
      <c r="U93" s="20">
        <f>IF(M92&gt;(SUM(N94:T94)+SUM(M93:T93))*-1,M92-(SUM(M94:T94)+SUM(M93:T93))*-1,0)</f>
        <v>0</v>
      </c>
    </row>
    <row r="94" spans="1:251" outlineLevel="1">
      <c r="A94" s="17" t="s">
        <v>137</v>
      </c>
      <c r="B94" s="230">
        <f t="shared" ref="B94:T94" si="26">IF(B89&lt;0,0,IF(B91&gt;B89,-B89,-B91))</f>
        <v>0</v>
      </c>
      <c r="C94" s="230">
        <f t="shared" si="26"/>
        <v>0</v>
      </c>
      <c r="D94" s="230">
        <f t="shared" si="26"/>
        <v>0</v>
      </c>
      <c r="E94" s="230">
        <f t="shared" si="26"/>
        <v>-272.84376009232932</v>
      </c>
      <c r="F94" s="230">
        <f t="shared" si="26"/>
        <v>-653.21942749147422</v>
      </c>
      <c r="G94" s="230">
        <f t="shared" si="26"/>
        <v>-932.19213779849952</v>
      </c>
      <c r="H94" s="230">
        <f t="shared" si="26"/>
        <v>-1131.3081296007504</v>
      </c>
      <c r="I94" s="230">
        <f t="shared" si="26"/>
        <v>-487.41054003032377</v>
      </c>
      <c r="J94" s="230">
        <f t="shared" si="26"/>
        <v>0</v>
      </c>
      <c r="K94" s="230">
        <f t="shared" si="26"/>
        <v>0</v>
      </c>
      <c r="L94" s="230">
        <f t="shared" si="26"/>
        <v>0</v>
      </c>
      <c r="M94" s="230">
        <f t="shared" si="26"/>
        <v>0</v>
      </c>
      <c r="N94" s="230">
        <f t="shared" si="26"/>
        <v>0</v>
      </c>
      <c r="O94" s="230">
        <f t="shared" si="26"/>
        <v>0</v>
      </c>
      <c r="P94" s="230">
        <f t="shared" si="26"/>
        <v>0</v>
      </c>
      <c r="Q94" s="230">
        <f t="shared" si="26"/>
        <v>0</v>
      </c>
      <c r="R94" s="230">
        <f t="shared" si="26"/>
        <v>0</v>
      </c>
      <c r="S94" s="230">
        <f t="shared" si="26"/>
        <v>0</v>
      </c>
      <c r="T94" s="230">
        <f t="shared" si="26"/>
        <v>0</v>
      </c>
      <c r="U94" s="230">
        <f>IF(U89&lt;0,0,IF(U91&gt;U89,-U89,-U91))</f>
        <v>0</v>
      </c>
    </row>
    <row r="95" spans="1:251" outlineLevel="1">
      <c r="A95" s="17" t="s">
        <v>138</v>
      </c>
      <c r="B95" s="230">
        <f t="shared" ref="B95:U95" si="27">SUM(B91:B94)</f>
        <v>543.77617724693607</v>
      </c>
      <c r="C95" s="230">
        <f t="shared" si="27"/>
        <v>2133.9268629701955</v>
      </c>
      <c r="D95" s="230">
        <f t="shared" si="27"/>
        <v>3476.9739950133771</v>
      </c>
      <c r="E95" s="230">
        <f t="shared" si="27"/>
        <v>3204.1302349210478</v>
      </c>
      <c r="F95" s="230">
        <f t="shared" si="27"/>
        <v>2550.9108074295737</v>
      </c>
      <c r="G95" s="230">
        <f t="shared" si="27"/>
        <v>1618.7186696310741</v>
      </c>
      <c r="H95" s="230">
        <f t="shared" si="27"/>
        <v>487.41054003032377</v>
      </c>
      <c r="I95" s="230">
        <f t="shared" si="27"/>
        <v>0</v>
      </c>
      <c r="J95" s="230">
        <f t="shared" si="27"/>
        <v>0</v>
      </c>
      <c r="K95" s="230">
        <f t="shared" si="27"/>
        <v>0</v>
      </c>
      <c r="L95" s="230">
        <f t="shared" si="27"/>
        <v>0</v>
      </c>
      <c r="M95" s="230">
        <f t="shared" si="27"/>
        <v>0</v>
      </c>
      <c r="N95" s="230">
        <f t="shared" si="27"/>
        <v>0</v>
      </c>
      <c r="O95" s="230">
        <f t="shared" si="27"/>
        <v>0</v>
      </c>
      <c r="P95" s="230">
        <f t="shared" si="27"/>
        <v>0</v>
      </c>
      <c r="Q95" s="230">
        <f t="shared" si="27"/>
        <v>0</v>
      </c>
      <c r="R95" s="230">
        <f t="shared" si="27"/>
        <v>0</v>
      </c>
      <c r="S95" s="230">
        <f t="shared" si="27"/>
        <v>0</v>
      </c>
      <c r="T95" s="230">
        <f t="shared" si="27"/>
        <v>0</v>
      </c>
      <c r="U95" s="230">
        <f t="shared" si="27"/>
        <v>0</v>
      </c>
    </row>
    <row r="96" spans="1:251" outlineLevel="1">
      <c r="A96" s="17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 ht="13.5" outlineLevel="1" thickBot="1">
      <c r="A97" s="32" t="s">
        <v>130</v>
      </c>
      <c r="B97" s="327">
        <f t="shared" ref="B97:U97" si="28">IF(B89&lt;0,0,B89+B94)</f>
        <v>0</v>
      </c>
      <c r="C97" s="327">
        <f t="shared" si="28"/>
        <v>0</v>
      </c>
      <c r="D97" s="327">
        <f t="shared" si="28"/>
        <v>0</v>
      </c>
      <c r="E97" s="327">
        <f t="shared" si="28"/>
        <v>0</v>
      </c>
      <c r="F97" s="327">
        <f t="shared" si="28"/>
        <v>0</v>
      </c>
      <c r="G97" s="327">
        <f t="shared" si="28"/>
        <v>0</v>
      </c>
      <c r="H97" s="327">
        <f t="shared" si="28"/>
        <v>0</v>
      </c>
      <c r="I97" s="327">
        <f t="shared" si="28"/>
        <v>766.16517024765517</v>
      </c>
      <c r="J97" s="327">
        <f t="shared" si="28"/>
        <v>1394.7203972627619</v>
      </c>
      <c r="K97" s="327">
        <f t="shared" si="28"/>
        <v>1539.6126678909056</v>
      </c>
      <c r="L97" s="327">
        <f t="shared" si="28"/>
        <v>1692.4416142999187</v>
      </c>
      <c r="M97" s="327">
        <f t="shared" si="28"/>
        <v>1848.8113808501496</v>
      </c>
      <c r="N97" s="327">
        <f t="shared" si="28"/>
        <v>2015.466609078326</v>
      </c>
      <c r="O97" s="327">
        <f t="shared" si="28"/>
        <v>2176.7609242775966</v>
      </c>
      <c r="P97" s="327">
        <f t="shared" si="28"/>
        <v>2345.3349761043551</v>
      </c>
      <c r="Q97" s="327">
        <f t="shared" si="28"/>
        <v>3195.5781564320682</v>
      </c>
      <c r="R97" s="327">
        <f t="shared" si="28"/>
        <v>4052.0909537331786</v>
      </c>
      <c r="S97" s="327">
        <f t="shared" si="28"/>
        <v>4205.2526179686074</v>
      </c>
      <c r="T97" s="327">
        <f t="shared" si="28"/>
        <v>4346.5322383354751</v>
      </c>
      <c r="U97" s="327">
        <f t="shared" si="28"/>
        <v>4488.4969605115548</v>
      </c>
      <c r="W97" s="420">
        <f>SUM(B97:U97)</f>
        <v>34067.264666992553</v>
      </c>
    </row>
    <row r="98" spans="1:23" ht="15.75" outlineLevel="1">
      <c r="A98" s="72"/>
      <c r="B98" s="7"/>
      <c r="C98" s="73"/>
      <c r="D98" s="7"/>
      <c r="E98" s="7"/>
      <c r="F98" s="7"/>
      <c r="G98" s="7"/>
      <c r="H98" s="7"/>
      <c r="I98" s="7"/>
      <c r="J98" s="7"/>
      <c r="K98" s="7"/>
      <c r="L98" s="59"/>
      <c r="M98" s="59"/>
      <c r="N98" s="59"/>
      <c r="O98" s="59"/>
      <c r="P98" s="59"/>
      <c r="Q98" s="59"/>
      <c r="R98" s="59"/>
      <c r="S98" s="59"/>
      <c r="T98" s="59"/>
      <c r="U98" s="59"/>
    </row>
    <row r="99" spans="1:23" outlineLevel="1">
      <c r="A99" s="57"/>
      <c r="B99" s="73"/>
      <c r="C99" s="76"/>
      <c r="D99" s="77"/>
      <c r="E99" s="77"/>
      <c r="F99" s="77"/>
      <c r="G99" s="77"/>
      <c r="H99" s="77"/>
      <c r="I99" s="77"/>
      <c r="J99" s="77"/>
      <c r="K99" s="77"/>
      <c r="L99" s="59"/>
      <c r="M99" s="59"/>
      <c r="N99" s="59"/>
      <c r="O99" s="59"/>
      <c r="P99" s="59"/>
      <c r="Q99" s="59"/>
      <c r="R99" s="59"/>
      <c r="S99" s="59"/>
      <c r="T99" s="59"/>
      <c r="U99" s="59"/>
    </row>
    <row r="100" spans="1:23" outlineLevel="1">
      <c r="A100" s="80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</row>
    <row r="101" spans="1:23" outlineLevel="1">
      <c r="A101" s="519"/>
      <c r="B101" s="519"/>
      <c r="C101" s="519"/>
      <c r="D101" s="519"/>
      <c r="E101" s="519"/>
      <c r="F101" s="519"/>
      <c r="G101" s="519"/>
      <c r="H101" s="519"/>
      <c r="I101" s="519"/>
      <c r="J101" s="519"/>
      <c r="K101" s="519"/>
      <c r="L101" s="519"/>
      <c r="M101" s="519"/>
      <c r="N101" s="519"/>
      <c r="O101" s="519"/>
      <c r="P101" s="519"/>
      <c r="Q101" s="519"/>
      <c r="R101" s="519"/>
      <c r="S101" s="519"/>
      <c r="T101" s="519"/>
      <c r="U101" s="519"/>
    </row>
    <row r="102" spans="1:23" outlineLevel="1">
      <c r="A102" s="78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</row>
    <row r="103" spans="1:23" outlineLevel="1">
      <c r="A103" s="522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outlineLevel="1">
      <c r="A104" s="523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 outlineLevel="1">
      <c r="A105" s="7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</row>
    <row r="106" spans="1:23" outlineLevel="1">
      <c r="A106" s="7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</row>
    <row r="107" spans="1:23" outlineLevel="1">
      <c r="A107" s="7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 spans="1:23" ht="18.75" outlineLevel="1">
      <c r="A108" s="84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 spans="1:23" outlineLevel="1">
      <c r="A109" s="57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:23" outlineLevel="1">
      <c r="A110" s="57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</row>
    <row r="111" spans="1:23" outlineLevel="1">
      <c r="A111" s="7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</row>
    <row r="112" spans="1:23" outlineLevel="1">
      <c r="A112" s="7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</row>
    <row r="113" spans="1:21" outlineLevel="1">
      <c r="A113" s="2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outlineLevel="1">
      <c r="A114" s="80"/>
      <c r="B114" s="69"/>
      <c r="C114" s="6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69"/>
      <c r="C115" s="6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69"/>
      <c r="C116" s="6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8"/>
      <c r="B117" s="69"/>
      <c r="C117" s="6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69"/>
      <c r="B118" s="69"/>
      <c r="C118" s="6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80"/>
      <c r="B119" s="69"/>
      <c r="C119" s="6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69"/>
      <c r="C120" s="6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69"/>
      <c r="C121" s="6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79"/>
      <c r="B122" s="69"/>
      <c r="C122" s="6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9"/>
      <c r="B123" s="69"/>
      <c r="C123" s="6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69"/>
      <c r="B124" s="69"/>
      <c r="C124" s="6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80"/>
      <c r="B125" s="69"/>
      <c r="C125" s="6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69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0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0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82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8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79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69"/>
      <c r="C134" s="6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79"/>
      <c r="B135" s="69"/>
      <c r="C135" s="6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79"/>
      <c r="B136" s="69"/>
      <c r="C136" s="6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outlineLevel="1">
      <c r="A137" s="79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79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outlineLevel="1">
      <c r="A139" s="79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79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80"/>
      <c r="B141" s="69"/>
      <c r="C141" s="6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outlineLevel="1">
      <c r="A142" s="81"/>
      <c r="B142" s="69"/>
      <c r="C142" s="6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outlineLevel="1">
      <c r="A143" s="79"/>
      <c r="B143" s="69"/>
      <c r="C143" s="6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</row>
    <row r="144" spans="1:21" outlineLevel="1">
      <c r="A144" s="82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82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9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78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80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80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80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80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80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80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1:21" outlineLevel="1">
      <c r="A157" s="7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</row>
    <row r="158" spans="1:21" outlineLevel="1">
      <c r="A158" s="7"/>
      <c r="B158" s="7"/>
      <c r="C158" s="7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</row>
    <row r="159" spans="1:21" ht="18.75" outlineLevel="1">
      <c r="A159" s="8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outlineLevel="1">
      <c r="A160" s="5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outlineLevel="1">
      <c r="A161" s="5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outlineLevel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outlineLevel="1">
      <c r="A163" s="2"/>
      <c r="B163" s="9"/>
      <c r="C163" s="9"/>
      <c r="D163" s="9"/>
      <c r="E163" s="9"/>
      <c r="F163" s="9"/>
      <c r="G163" s="9"/>
      <c r="H163" s="9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outlineLevel="1">
      <c r="A164" s="5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outlineLevel="1">
      <c r="A165" s="86"/>
      <c r="B165" s="87"/>
      <c r="C165" s="87"/>
      <c r="D165" s="87"/>
      <c r="E165" s="87"/>
      <c r="F165" s="87"/>
      <c r="G165" s="87"/>
      <c r="H165" s="87"/>
      <c r="I165" s="7"/>
      <c r="J165" s="8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outlineLevel="1">
      <c r="A166" s="86"/>
      <c r="B166" s="87"/>
      <c r="C166" s="87"/>
      <c r="D166" s="87"/>
      <c r="E166" s="87"/>
      <c r="F166" s="87"/>
      <c r="G166" s="87"/>
      <c r="H166" s="87"/>
      <c r="I166" s="7"/>
      <c r="J166" s="8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outlineLevel="1">
      <c r="A167" s="86"/>
      <c r="B167" s="87"/>
      <c r="C167" s="87"/>
      <c r="D167" s="87"/>
      <c r="E167" s="87"/>
      <c r="F167" s="87"/>
      <c r="G167" s="87"/>
      <c r="H167" s="87"/>
      <c r="I167" s="7"/>
      <c r="J167" s="8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outlineLevel="1">
      <c r="A168" s="86"/>
      <c r="B168" s="87"/>
      <c r="C168" s="87"/>
      <c r="D168" s="87"/>
      <c r="E168" s="87"/>
      <c r="F168" s="87"/>
      <c r="G168" s="87"/>
      <c r="H168" s="87"/>
      <c r="I168" s="7"/>
      <c r="J168" s="8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outlineLevel="1">
      <c r="A169" s="86"/>
      <c r="B169" s="87"/>
      <c r="C169" s="87"/>
      <c r="D169" s="87"/>
      <c r="E169" s="87"/>
      <c r="F169" s="87"/>
      <c r="G169" s="87"/>
      <c r="H169" s="87"/>
      <c r="I169" s="7"/>
      <c r="J169" s="8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outlineLevel="1">
      <c r="A170" s="7"/>
      <c r="B170" s="87"/>
      <c r="C170" s="87"/>
      <c r="D170" s="87"/>
      <c r="E170" s="87"/>
      <c r="F170" s="87"/>
      <c r="G170" s="87"/>
      <c r="H170" s="87"/>
      <c r="I170" s="7"/>
      <c r="J170" s="8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outlineLevel="1">
      <c r="A171" s="57"/>
      <c r="B171" s="87"/>
      <c r="C171" s="87"/>
      <c r="D171" s="87"/>
      <c r="E171" s="87"/>
      <c r="F171" s="87"/>
      <c r="G171" s="87"/>
      <c r="H171" s="87"/>
      <c r="I171" s="7"/>
      <c r="J171" s="8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outlineLevel="1">
      <c r="A172" s="86"/>
      <c r="B172" s="87"/>
      <c r="C172" s="87"/>
      <c r="D172" s="87"/>
      <c r="E172" s="87"/>
      <c r="F172" s="87"/>
      <c r="G172" s="87"/>
      <c r="H172" s="87"/>
      <c r="I172" s="7"/>
      <c r="J172" s="8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outlineLevel="1">
      <c r="A173" s="86"/>
      <c r="B173" s="87"/>
      <c r="C173" s="87"/>
      <c r="D173" s="87"/>
      <c r="E173" s="87"/>
      <c r="F173" s="87"/>
      <c r="G173" s="87"/>
      <c r="H173" s="87"/>
      <c r="I173" s="7"/>
      <c r="J173" s="8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outlineLevel="1">
      <c r="A174" s="86"/>
      <c r="B174" s="87"/>
      <c r="C174" s="87"/>
      <c r="D174" s="87"/>
      <c r="E174" s="87"/>
      <c r="F174" s="87"/>
      <c r="G174" s="87"/>
      <c r="H174" s="87"/>
      <c r="I174" s="7"/>
      <c r="J174" s="8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outlineLevel="1">
      <c r="A175" s="86"/>
      <c r="B175" s="87"/>
      <c r="C175" s="87"/>
      <c r="D175" s="87"/>
      <c r="E175" s="87"/>
      <c r="F175" s="87"/>
      <c r="G175" s="87"/>
      <c r="H175" s="87"/>
      <c r="I175" s="7"/>
      <c r="J175" s="8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outlineLevel="1">
      <c r="A176" s="86"/>
      <c r="B176" s="87"/>
      <c r="C176" s="87"/>
      <c r="D176" s="87"/>
      <c r="E176" s="87"/>
      <c r="F176" s="87"/>
      <c r="G176" s="87"/>
      <c r="H176" s="87"/>
      <c r="I176" s="7"/>
      <c r="J176" s="8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outlineLevel="1">
      <c r="A177" s="86"/>
      <c r="B177" s="87"/>
      <c r="C177" s="87"/>
      <c r="D177" s="87"/>
      <c r="E177" s="87"/>
      <c r="F177" s="87"/>
      <c r="G177" s="87"/>
      <c r="H177" s="87"/>
      <c r="I177" s="7"/>
      <c r="J177" s="8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outlineLevel="1">
      <c r="A178" s="86"/>
      <c r="B178" s="87"/>
      <c r="C178" s="87"/>
      <c r="D178" s="87"/>
      <c r="E178" s="87"/>
      <c r="F178" s="87"/>
      <c r="G178" s="87"/>
      <c r="H178" s="87"/>
      <c r="I178" s="7"/>
      <c r="J178" s="8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outlineLevel="1">
      <c r="A179" s="86"/>
      <c r="B179" s="87"/>
      <c r="C179" s="87"/>
      <c r="D179" s="87"/>
      <c r="E179" s="87"/>
      <c r="F179" s="87"/>
      <c r="G179" s="87"/>
      <c r="H179" s="87"/>
      <c r="I179" s="7"/>
      <c r="J179" s="8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outlineLevel="1">
      <c r="A180" s="86"/>
      <c r="B180" s="87"/>
      <c r="C180" s="87"/>
      <c r="D180" s="87"/>
      <c r="E180" s="87"/>
      <c r="F180" s="87"/>
      <c r="G180" s="87"/>
      <c r="H180" s="87"/>
      <c r="I180" s="7"/>
      <c r="J180" s="8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outlineLevel="1">
      <c r="A181" s="86"/>
      <c r="B181" s="87"/>
      <c r="C181" s="87"/>
      <c r="D181" s="87"/>
      <c r="E181" s="87"/>
      <c r="F181" s="87"/>
      <c r="G181" s="87"/>
      <c r="H181" s="87"/>
      <c r="I181" s="7"/>
      <c r="J181" s="8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outlineLevel="1">
      <c r="A182" s="86"/>
      <c r="B182" s="87"/>
      <c r="C182" s="87"/>
      <c r="D182" s="87"/>
      <c r="E182" s="87"/>
      <c r="F182" s="87"/>
      <c r="G182" s="87"/>
      <c r="H182" s="87"/>
      <c r="I182" s="7"/>
      <c r="J182" s="8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outlineLevel="1">
      <c r="A183" s="57"/>
      <c r="B183" s="87"/>
      <c r="C183" s="87"/>
      <c r="D183" s="87"/>
      <c r="E183" s="87"/>
      <c r="F183" s="87"/>
      <c r="G183" s="87"/>
      <c r="H183" s="87"/>
      <c r="I183" s="7"/>
      <c r="J183" s="8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outlineLevel="1">
      <c r="A184" s="86"/>
      <c r="B184" s="87"/>
      <c r="C184" s="87"/>
      <c r="D184" s="87"/>
      <c r="E184" s="87"/>
      <c r="F184" s="87"/>
      <c r="G184" s="87"/>
      <c r="H184" s="87"/>
      <c r="I184" s="7"/>
      <c r="J184" s="8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outlineLevel="1">
      <c r="A185" s="86"/>
      <c r="B185" s="87"/>
      <c r="C185" s="87"/>
      <c r="D185" s="87"/>
      <c r="E185" s="87"/>
      <c r="F185" s="87"/>
      <c r="G185" s="87"/>
      <c r="H185" s="87"/>
      <c r="I185" s="7"/>
      <c r="J185" s="8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outlineLevel="1">
      <c r="A186" s="57"/>
      <c r="B186" s="87"/>
      <c r="C186" s="87"/>
      <c r="D186" s="87"/>
      <c r="E186" s="87"/>
      <c r="F186" s="87"/>
      <c r="G186" s="87"/>
      <c r="H186" s="87"/>
      <c r="I186" s="7"/>
      <c r="J186" s="8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outlineLevel="1">
      <c r="A187" s="57"/>
      <c r="B187" s="87"/>
      <c r="C187" s="87"/>
      <c r="D187" s="87"/>
      <c r="E187" s="87"/>
      <c r="F187" s="87"/>
      <c r="G187" s="87"/>
      <c r="H187" s="87"/>
      <c r="I187" s="7"/>
      <c r="J187" s="8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outlineLevel="1">
      <c r="A188" s="7"/>
      <c r="B188" s="87"/>
      <c r="C188" s="87"/>
      <c r="D188" s="87"/>
      <c r="E188" s="87"/>
      <c r="F188" s="87"/>
      <c r="G188" s="87"/>
      <c r="H188" s="87"/>
      <c r="I188" s="7"/>
      <c r="J188" s="8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outlineLevel="1">
      <c r="A189" s="7"/>
      <c r="B189" s="87"/>
      <c r="C189" s="87"/>
      <c r="D189" s="87"/>
      <c r="E189" s="87"/>
      <c r="F189" s="87"/>
      <c r="G189" s="87"/>
      <c r="H189" s="87"/>
      <c r="I189" s="7"/>
      <c r="J189" s="8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57"/>
      <c r="B190" s="87"/>
      <c r="C190" s="87"/>
      <c r="D190" s="87"/>
      <c r="E190" s="87"/>
      <c r="F190" s="87"/>
      <c r="G190" s="87"/>
      <c r="H190" s="87"/>
      <c r="I190" s="7"/>
      <c r="J190" s="8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86"/>
      <c r="B191" s="87"/>
      <c r="C191" s="87"/>
      <c r="D191" s="87"/>
      <c r="E191" s="87"/>
      <c r="F191" s="87"/>
      <c r="G191" s="87"/>
      <c r="H191" s="87"/>
      <c r="I191" s="7"/>
      <c r="J191" s="8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57"/>
      <c r="B192" s="87"/>
      <c r="C192" s="87"/>
      <c r="D192" s="87"/>
      <c r="E192" s="87"/>
      <c r="F192" s="87"/>
      <c r="G192" s="87"/>
      <c r="H192" s="87"/>
      <c r="I192" s="7"/>
      <c r="J192" s="8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7"/>
      <c r="B193" s="87"/>
      <c r="C193" s="87"/>
      <c r="D193" s="87"/>
      <c r="E193" s="87"/>
      <c r="F193" s="87"/>
      <c r="G193" s="87"/>
      <c r="H193" s="87"/>
      <c r="I193" s="7"/>
      <c r="J193" s="8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87"/>
      <c r="C194" s="87"/>
      <c r="D194" s="87"/>
      <c r="E194" s="87"/>
      <c r="F194" s="87"/>
      <c r="G194" s="87"/>
      <c r="H194" s="87"/>
      <c r="I194" s="7"/>
      <c r="J194" s="8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86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86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86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86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57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7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57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7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57"/>
      <c r="B207" s="7"/>
      <c r="C207" s="59"/>
      <c r="D207" s="59"/>
      <c r="E207" s="59"/>
      <c r="F207" s="59"/>
      <c r="G207" s="59"/>
      <c r="H207" s="5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57"/>
      <c r="B208" s="7"/>
      <c r="C208" s="59"/>
      <c r="D208" s="59"/>
      <c r="E208" s="59"/>
      <c r="F208" s="59"/>
      <c r="G208" s="59"/>
      <c r="H208" s="5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57"/>
      <c r="B209" s="7"/>
      <c r="C209" s="59"/>
      <c r="D209" s="59"/>
      <c r="E209" s="59"/>
      <c r="F209" s="59"/>
      <c r="G209" s="59"/>
      <c r="H209" s="5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57"/>
      <c r="B210" s="7"/>
      <c r="C210" s="59"/>
      <c r="D210" s="59"/>
      <c r="E210" s="59"/>
      <c r="F210" s="59"/>
      <c r="G210" s="59"/>
      <c r="H210" s="5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8.75" outlineLevel="1">
      <c r="A212" s="8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5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s="90" customFormat="1" outlineLevel="1">
      <c r="A216" s="89"/>
    </row>
    <row r="217" spans="1:21" outlineLevel="1">
      <c r="A217" s="5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57"/>
      <c r="B218" s="7"/>
      <c r="C218" s="91"/>
      <c r="D218" s="91"/>
      <c r="E218" s="91"/>
      <c r="F218" s="91"/>
      <c r="G218" s="91"/>
      <c r="H218" s="91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57"/>
      <c r="B219" s="7"/>
      <c r="C219" s="91"/>
      <c r="D219" s="91"/>
      <c r="E219" s="91"/>
      <c r="F219" s="91"/>
      <c r="G219" s="91"/>
      <c r="H219" s="91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7"/>
      <c r="B220" s="7"/>
      <c r="C220" s="93"/>
      <c r="D220" s="93"/>
      <c r="E220" s="93"/>
      <c r="F220" s="93"/>
      <c r="G220" s="93"/>
      <c r="H220" s="93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5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94"/>
      <c r="B223" s="7"/>
      <c r="C223" s="59"/>
      <c r="D223" s="59"/>
      <c r="E223" s="59"/>
      <c r="F223" s="59"/>
      <c r="G223" s="59"/>
      <c r="H223" s="59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94"/>
      <c r="B224" s="7"/>
      <c r="C224" s="59"/>
      <c r="D224" s="59"/>
      <c r="E224" s="59"/>
      <c r="F224" s="59"/>
      <c r="G224" s="59"/>
      <c r="H224" s="59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94"/>
      <c r="B225" s="7"/>
      <c r="C225" s="59"/>
      <c r="D225" s="59"/>
      <c r="E225" s="59"/>
      <c r="F225" s="59"/>
      <c r="G225" s="59"/>
      <c r="H225" s="59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94"/>
      <c r="B226" s="7"/>
      <c r="C226" s="59"/>
      <c r="D226" s="59"/>
      <c r="E226" s="59"/>
      <c r="F226" s="59"/>
      <c r="G226" s="59"/>
      <c r="H226" s="59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94"/>
      <c r="B227" s="7"/>
      <c r="C227" s="91"/>
      <c r="D227" s="91"/>
      <c r="E227" s="91"/>
      <c r="F227" s="91"/>
      <c r="G227" s="91"/>
      <c r="H227" s="91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7"/>
      <c r="C228" s="95"/>
      <c r="D228" s="95"/>
      <c r="E228" s="95"/>
      <c r="F228" s="95"/>
      <c r="G228" s="95"/>
      <c r="H228" s="95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94"/>
      <c r="B229" s="7"/>
      <c r="C229" s="96"/>
      <c r="D229" s="96"/>
      <c r="E229" s="96"/>
      <c r="F229" s="96"/>
      <c r="G229" s="96"/>
      <c r="H229" s="96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94"/>
      <c r="B230" s="7"/>
      <c r="C230" s="96"/>
      <c r="D230" s="96"/>
      <c r="E230" s="96"/>
      <c r="F230" s="96"/>
      <c r="G230" s="96"/>
      <c r="H230" s="96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94"/>
      <c r="B231" s="7"/>
      <c r="C231" s="96"/>
      <c r="D231" s="96"/>
      <c r="E231" s="96"/>
      <c r="F231" s="96"/>
      <c r="G231" s="96"/>
      <c r="H231" s="96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94"/>
      <c r="B232" s="7"/>
      <c r="C232" s="96"/>
      <c r="D232" s="96"/>
      <c r="E232" s="96"/>
      <c r="F232" s="96"/>
      <c r="G232" s="96"/>
      <c r="H232" s="96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94"/>
      <c r="B233" s="7"/>
      <c r="C233" s="95"/>
      <c r="D233" s="95"/>
      <c r="E233" s="95"/>
      <c r="F233" s="95"/>
      <c r="G233" s="95"/>
      <c r="H233" s="95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5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7"/>
      <c r="B235" s="7"/>
      <c r="C235" s="59"/>
      <c r="D235" s="59"/>
      <c r="E235" s="59"/>
      <c r="F235" s="59"/>
      <c r="G235" s="59"/>
      <c r="H235" s="5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7"/>
      <c r="B236" s="7"/>
      <c r="C236" s="59"/>
      <c r="D236" s="59"/>
      <c r="E236" s="59"/>
      <c r="F236" s="59"/>
      <c r="G236" s="59"/>
      <c r="H236" s="59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7"/>
      <c r="B237" s="7"/>
      <c r="C237" s="59"/>
      <c r="D237" s="59"/>
      <c r="E237" s="59"/>
      <c r="F237" s="59"/>
      <c r="G237" s="59"/>
      <c r="H237" s="5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7"/>
      <c r="B238" s="97"/>
      <c r="C238" s="59"/>
      <c r="D238" s="59"/>
      <c r="E238" s="59"/>
      <c r="F238" s="59"/>
      <c r="G238" s="59"/>
      <c r="H238" s="5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5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7"/>
      <c r="B241" s="7"/>
      <c r="C241" s="91"/>
      <c r="D241" s="91"/>
      <c r="E241" s="91"/>
      <c r="F241" s="91"/>
      <c r="G241" s="91"/>
      <c r="H241" s="91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94"/>
      <c r="B242" s="7"/>
      <c r="C242" s="91"/>
      <c r="D242" s="91"/>
      <c r="E242" s="91"/>
      <c r="F242" s="91"/>
      <c r="G242" s="91"/>
      <c r="H242" s="91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94"/>
      <c r="B243" s="7"/>
      <c r="C243" s="91"/>
      <c r="D243" s="91"/>
      <c r="E243" s="91"/>
      <c r="F243" s="91"/>
      <c r="G243" s="91"/>
      <c r="H243" s="91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94"/>
      <c r="B244" s="97"/>
      <c r="C244" s="91"/>
      <c r="D244" s="91"/>
      <c r="E244" s="91"/>
      <c r="F244" s="91"/>
      <c r="G244" s="91"/>
      <c r="H244" s="91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7"/>
      <c r="C245" s="91"/>
      <c r="D245" s="91"/>
      <c r="E245" s="91"/>
      <c r="F245" s="91"/>
      <c r="G245" s="91"/>
      <c r="H245" s="91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7"/>
      <c r="C246" s="91"/>
      <c r="D246" s="91"/>
      <c r="E246" s="91"/>
      <c r="F246" s="91"/>
      <c r="G246" s="91"/>
      <c r="H246" s="91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91"/>
      <c r="D247" s="91"/>
      <c r="E247" s="91"/>
      <c r="F247" s="91"/>
      <c r="G247" s="91"/>
      <c r="H247" s="91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7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7"/>
      <c r="B250" s="7"/>
      <c r="C250" s="91"/>
      <c r="D250" s="91"/>
      <c r="E250" s="91"/>
      <c r="F250" s="91"/>
      <c r="G250" s="91"/>
      <c r="H250" s="9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57"/>
      <c r="B252" s="98"/>
      <c r="C252" s="98"/>
      <c r="D252" s="98"/>
      <c r="E252" s="98"/>
      <c r="F252" s="98"/>
      <c r="G252" s="98"/>
      <c r="H252" s="98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57"/>
      <c r="B253" s="97"/>
      <c r="C253" s="98"/>
      <c r="D253" s="98"/>
      <c r="E253" s="98"/>
      <c r="F253" s="98"/>
      <c r="G253" s="98"/>
      <c r="H253" s="98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98"/>
      <c r="C254" s="98"/>
      <c r="D254" s="98"/>
      <c r="E254" s="98"/>
      <c r="F254" s="98"/>
      <c r="G254" s="98"/>
      <c r="H254" s="98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57"/>
      <c r="B255" s="7"/>
      <c r="C255" s="98"/>
      <c r="D255" s="98"/>
      <c r="E255" s="98"/>
      <c r="F255" s="98"/>
      <c r="G255" s="98"/>
      <c r="H255" s="98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5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5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7"/>
      <c r="B260" s="7"/>
      <c r="C260" s="87"/>
      <c r="D260" s="87"/>
      <c r="E260" s="87"/>
      <c r="F260" s="87"/>
      <c r="G260" s="87"/>
      <c r="H260" s="8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98"/>
      <c r="D261" s="98"/>
      <c r="E261" s="98"/>
      <c r="F261" s="98"/>
      <c r="G261" s="98"/>
      <c r="H261" s="9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7"/>
      <c r="B262" s="7"/>
      <c r="C262" s="99"/>
      <c r="D262" s="99"/>
      <c r="E262" s="99"/>
      <c r="F262" s="99"/>
      <c r="G262" s="99"/>
      <c r="H262" s="99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87"/>
      <c r="D263" s="87"/>
      <c r="E263" s="87"/>
      <c r="F263" s="87"/>
      <c r="G263" s="87"/>
      <c r="H263" s="8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7"/>
      <c r="B264" s="7"/>
      <c r="C264" s="99"/>
      <c r="D264" s="99"/>
      <c r="E264" s="99"/>
      <c r="F264" s="99"/>
      <c r="G264" s="99"/>
      <c r="H264" s="9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100"/>
      <c r="D265" s="100"/>
      <c r="E265" s="100"/>
      <c r="F265" s="100"/>
      <c r="G265" s="100"/>
      <c r="H265" s="100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100"/>
      <c r="D266" s="100"/>
      <c r="E266" s="100"/>
      <c r="F266" s="100"/>
      <c r="G266" s="100"/>
      <c r="H266" s="100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8.75" hidden="1" outlineLevel="2">
      <c r="A267" s="84"/>
      <c r="B267" s="7"/>
      <c r="C267" s="100"/>
      <c r="D267" s="100"/>
      <c r="E267" s="100"/>
      <c r="F267" s="100"/>
      <c r="G267" s="100"/>
      <c r="H267" s="100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idden="1" outlineLevel="2">
      <c r="A268" s="57"/>
      <c r="B268" s="7"/>
      <c r="C268" s="100"/>
      <c r="D268" s="100"/>
      <c r="E268" s="100"/>
      <c r="F268" s="100"/>
      <c r="G268" s="100"/>
      <c r="H268" s="100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idden="1" outlineLevel="2">
      <c r="A269" s="7"/>
      <c r="B269" s="7"/>
      <c r="C269" s="100"/>
      <c r="D269" s="100"/>
      <c r="E269" s="100"/>
      <c r="F269" s="100"/>
      <c r="G269" s="100"/>
      <c r="H269" s="100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idden="1" outlineLevel="2">
      <c r="A270" s="57"/>
      <c r="B270" s="11"/>
      <c r="C270" s="11"/>
      <c r="D270" s="10"/>
      <c r="E270" s="10"/>
      <c r="F270" s="11"/>
      <c r="G270" s="11"/>
      <c r="H270" s="10"/>
      <c r="I270" s="11"/>
      <c r="J270" s="11"/>
      <c r="K270" s="11"/>
      <c r="L270" s="10"/>
      <c r="M270" s="11"/>
      <c r="N270" s="11"/>
      <c r="O270" s="7"/>
      <c r="P270" s="7"/>
      <c r="Q270" s="7"/>
      <c r="R270" s="7"/>
      <c r="S270" s="7"/>
      <c r="T270" s="11"/>
      <c r="U270" s="7"/>
    </row>
    <row r="271" spans="1:21" hidden="1" outlineLevel="2">
      <c r="A271" s="5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idden="1" outlineLevel="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5" hidden="1" outlineLevel="2">
      <c r="A273" s="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7"/>
      <c r="P273" s="7"/>
      <c r="Q273" s="7"/>
      <c r="R273" s="7"/>
      <c r="S273" s="7"/>
      <c r="T273" s="87"/>
      <c r="U273" s="7"/>
    </row>
    <row r="274" spans="1:25" hidden="1" outlineLevel="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5" hidden="1" outlineLevel="2">
      <c r="A275" s="7"/>
      <c r="B275" s="98"/>
      <c r="C275" s="98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7"/>
      <c r="P275" s="7"/>
      <c r="Q275" s="7"/>
      <c r="R275" s="7"/>
      <c r="S275" s="7"/>
      <c r="T275" s="87"/>
      <c r="U275" s="7"/>
    </row>
    <row r="276" spans="1:25" hidden="1" outlineLevel="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5" hidden="1" outlineLevel="2">
      <c r="A277" s="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7"/>
      <c r="P277" s="7"/>
      <c r="Q277" s="7"/>
      <c r="R277" s="7"/>
      <c r="S277" s="7"/>
      <c r="T277" s="87"/>
      <c r="U277" s="87"/>
      <c r="V277" s="87"/>
      <c r="W277" s="87"/>
      <c r="X277" s="87"/>
      <c r="Y277" s="87"/>
    </row>
    <row r="278" spans="1:25" hidden="1" outlineLevel="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5" hidden="1" outlineLevel="2">
      <c r="A279" s="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7"/>
      <c r="P279" s="7"/>
      <c r="Q279" s="7"/>
      <c r="R279" s="7"/>
      <c r="S279" s="7"/>
      <c r="T279" s="87"/>
      <c r="U279" s="7"/>
    </row>
    <row r="280" spans="1:25" hidden="1" outlineLevel="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5" hidden="1" outlineLevel="2">
      <c r="A281" s="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7"/>
      <c r="P281" s="7"/>
      <c r="Q281" s="7"/>
      <c r="R281" s="7"/>
      <c r="S281" s="7"/>
      <c r="T281" s="87"/>
      <c r="U281" s="87"/>
    </row>
    <row r="282" spans="1:25" hidden="1" outlineLevel="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5" hidden="1" outlineLevel="2">
      <c r="A283" s="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7"/>
      <c r="P283" s="7"/>
      <c r="Q283" s="7"/>
      <c r="R283" s="7"/>
      <c r="S283" s="7"/>
      <c r="T283" s="87"/>
      <c r="U283" s="87"/>
    </row>
    <row r="284" spans="1:25" hidden="1" outlineLevel="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5" outlineLevel="1" collapsed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5" outlineLevel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5" outlineLevel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5" ht="18.75" outlineLevel="1">
      <c r="A288" s="8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5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5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2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</row>
    <row r="293" spans="1:21" outlineLevel="1">
      <c r="A293" s="5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86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</row>
    <row r="295" spans="1:21" outlineLevel="1">
      <c r="A295" s="86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</row>
    <row r="296" spans="1:21" outlineLevel="1">
      <c r="A296" s="86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</row>
    <row r="297" spans="1:21" outlineLevel="1">
      <c r="A297" s="86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</row>
    <row r="298" spans="1:21" outlineLevel="1">
      <c r="A298" s="86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</row>
    <row r="299" spans="1:21" outlineLevel="1">
      <c r="A299" s="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</row>
    <row r="300" spans="1:21" outlineLevel="1">
      <c r="A300" s="5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</row>
    <row r="301" spans="1:21" outlineLevel="1">
      <c r="A301" s="86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</row>
    <row r="302" spans="1:21" outlineLevel="1">
      <c r="A302" s="86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</row>
    <row r="303" spans="1:21" outlineLevel="1">
      <c r="A303" s="86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</row>
    <row r="304" spans="1:21" outlineLevel="1">
      <c r="A304" s="86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</row>
    <row r="305" spans="1:21" outlineLevel="1">
      <c r="A305" s="86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</row>
    <row r="306" spans="1:21" outlineLevel="1">
      <c r="A306" s="86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</row>
    <row r="307" spans="1:21" outlineLevel="1">
      <c r="A307" s="86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</row>
    <row r="308" spans="1:21" outlineLevel="1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</row>
    <row r="309" spans="1:21" outlineLevel="1">
      <c r="A309" s="86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</row>
    <row r="310" spans="1:21" outlineLevel="1">
      <c r="A310" s="86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</row>
    <row r="311" spans="1:21" outlineLevel="1">
      <c r="A311" s="86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</row>
    <row r="312" spans="1:21" outlineLevel="1">
      <c r="A312" s="5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</row>
    <row r="313" spans="1:21" outlineLevel="1">
      <c r="A313" s="86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</row>
    <row r="314" spans="1:21" outlineLevel="1">
      <c r="A314" s="5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</row>
    <row r="315" spans="1:21" outlineLevel="1">
      <c r="A315" s="86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</row>
    <row r="316" spans="1:21" outlineLevel="1">
      <c r="A316" s="5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</row>
    <row r="317" spans="1:21" outlineLevel="1">
      <c r="A317" s="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</row>
    <row r="318" spans="1:21" outlineLevel="1">
      <c r="A318" s="5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</row>
    <row r="319" spans="1:21" outlineLevel="1">
      <c r="A319" s="86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</row>
    <row r="320" spans="1:21" outlineLevel="1">
      <c r="A320" s="86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</row>
    <row r="321" spans="1:21" outlineLevel="1">
      <c r="A321" s="86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</row>
    <row r="322" spans="1:21" outlineLevel="1">
      <c r="A322" s="86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</row>
    <row r="323" spans="1:21" outlineLevel="1">
      <c r="A323" s="5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</row>
    <row r="324" spans="1:21" outlineLevel="1">
      <c r="A324" s="5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86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2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5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5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5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5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outlineLevel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8.75" outlineLevel="1">
      <c r="A338" s="8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outlineLevel="1">
      <c r="A339" s="5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outlineLevel="1">
      <c r="A340" s="5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outlineLevel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outlineLevel="1">
      <c r="A342" s="2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7"/>
      <c r="P342" s="7"/>
      <c r="Q342" s="7"/>
      <c r="R342" s="7"/>
      <c r="S342" s="7"/>
      <c r="T342" s="7"/>
      <c r="U342" s="7"/>
    </row>
    <row r="343" spans="1:21" outlineLevel="1">
      <c r="A343" s="5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outlineLevel="1">
      <c r="A344" s="86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7"/>
      <c r="P344" s="7"/>
      <c r="Q344" s="7"/>
      <c r="R344" s="7"/>
      <c r="S344" s="7"/>
      <c r="T344" s="7"/>
      <c r="U344" s="7"/>
    </row>
    <row r="345" spans="1:21" outlineLevel="1">
      <c r="A345" s="86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7"/>
      <c r="P345" s="7"/>
      <c r="Q345" s="7"/>
      <c r="R345" s="7"/>
      <c r="S345" s="7"/>
      <c r="T345" s="7"/>
      <c r="U345" s="7"/>
    </row>
    <row r="346" spans="1:21" outlineLevel="1">
      <c r="A346" s="86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7"/>
      <c r="P346" s="7"/>
      <c r="Q346" s="7"/>
      <c r="R346" s="7"/>
      <c r="S346" s="7"/>
      <c r="T346" s="7"/>
      <c r="U346" s="7"/>
    </row>
    <row r="347" spans="1:21" outlineLevel="1">
      <c r="A347" s="86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7"/>
      <c r="P347" s="7"/>
      <c r="Q347" s="7"/>
      <c r="R347" s="7"/>
      <c r="S347" s="7"/>
      <c r="T347" s="7"/>
      <c r="U347" s="7"/>
    </row>
    <row r="348" spans="1:21" outlineLevel="1">
      <c r="A348" s="86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7"/>
      <c r="P348" s="7"/>
      <c r="Q348" s="7"/>
      <c r="R348" s="7"/>
      <c r="S348" s="7"/>
      <c r="T348" s="7"/>
      <c r="U348" s="7"/>
    </row>
    <row r="349" spans="1:21" outlineLevel="1">
      <c r="A349" s="86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7"/>
      <c r="P349" s="7"/>
      <c r="Q349" s="7"/>
      <c r="R349" s="7"/>
      <c r="S349" s="7"/>
      <c r="T349" s="7"/>
      <c r="U349" s="7"/>
    </row>
    <row r="350" spans="1:21" outlineLevel="1">
      <c r="A350" s="57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7"/>
      <c r="P350" s="7"/>
      <c r="Q350" s="7"/>
      <c r="R350" s="7"/>
      <c r="S350" s="7"/>
      <c r="T350" s="7"/>
      <c r="U350" s="7"/>
    </row>
    <row r="351" spans="1:21" outlineLevel="1">
      <c r="A351" s="86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7"/>
      <c r="P351" s="7"/>
      <c r="Q351" s="7"/>
      <c r="R351" s="7"/>
      <c r="S351" s="7"/>
      <c r="T351" s="7"/>
      <c r="U351" s="7"/>
    </row>
    <row r="352" spans="1:21" outlineLevel="1">
      <c r="A352" s="86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7"/>
      <c r="P352" s="7"/>
      <c r="Q352" s="7"/>
      <c r="R352" s="7"/>
      <c r="S352" s="7"/>
      <c r="T352" s="7"/>
      <c r="U352" s="7"/>
    </row>
    <row r="353" spans="1:21" outlineLevel="1">
      <c r="A353" s="86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7"/>
      <c r="P353" s="7"/>
      <c r="Q353" s="7"/>
      <c r="R353" s="7"/>
      <c r="S353" s="7"/>
      <c r="T353" s="7"/>
      <c r="U353" s="7"/>
    </row>
    <row r="354" spans="1:21" outlineLevel="1">
      <c r="A354" s="86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7"/>
      <c r="P354" s="7"/>
      <c r="Q354" s="7"/>
      <c r="R354" s="7"/>
      <c r="S354" s="7"/>
      <c r="T354" s="7"/>
      <c r="U354" s="7"/>
    </row>
    <row r="355" spans="1:21" outlineLevel="1">
      <c r="A355" s="86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7"/>
      <c r="P355" s="7"/>
      <c r="Q355" s="7"/>
      <c r="R355" s="7"/>
      <c r="S355" s="7"/>
      <c r="T355" s="7"/>
      <c r="U355" s="7"/>
    </row>
    <row r="356" spans="1:21" outlineLevel="1">
      <c r="A356" s="86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7"/>
      <c r="P356" s="7"/>
      <c r="Q356" s="7"/>
      <c r="R356" s="7"/>
      <c r="S356" s="7"/>
      <c r="T356" s="7"/>
      <c r="U356" s="7"/>
    </row>
    <row r="357" spans="1:21" outlineLevel="1">
      <c r="A357" s="86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7"/>
      <c r="P357" s="7"/>
      <c r="Q357" s="7"/>
      <c r="R357" s="7"/>
      <c r="S357" s="7"/>
      <c r="T357" s="7"/>
      <c r="U357" s="7"/>
    </row>
    <row r="358" spans="1:21" outlineLevel="1">
      <c r="A358" s="86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7"/>
      <c r="P358" s="7"/>
      <c r="Q358" s="7"/>
      <c r="R358" s="7"/>
      <c r="S358" s="7"/>
      <c r="T358" s="7"/>
      <c r="U358" s="7"/>
    </row>
    <row r="359" spans="1:21" outlineLevel="1">
      <c r="A359" s="86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7"/>
      <c r="P359" s="7"/>
      <c r="Q359" s="7"/>
      <c r="R359" s="7"/>
      <c r="S359" s="7"/>
      <c r="T359" s="7"/>
      <c r="U359" s="7"/>
    </row>
    <row r="360" spans="1:21" outlineLevel="1">
      <c r="A360" s="86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7"/>
      <c r="P360" s="7"/>
      <c r="Q360" s="7"/>
      <c r="R360" s="7"/>
      <c r="S360" s="7"/>
      <c r="T360" s="7"/>
      <c r="U360" s="7"/>
    </row>
    <row r="361" spans="1:21" outlineLevel="1">
      <c r="A361" s="86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7"/>
      <c r="P361" s="7"/>
      <c r="Q361" s="7"/>
      <c r="R361" s="7"/>
      <c r="S361" s="7"/>
      <c r="T361" s="7"/>
      <c r="U361" s="7"/>
    </row>
    <row r="362" spans="1:21" outlineLevel="1">
      <c r="A362" s="86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7"/>
      <c r="P362" s="7"/>
      <c r="Q362" s="7"/>
      <c r="R362" s="7"/>
      <c r="S362" s="7"/>
      <c r="T362" s="7"/>
      <c r="U362" s="7"/>
    </row>
    <row r="363" spans="1:21" outlineLevel="1">
      <c r="A363" s="57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7"/>
      <c r="P363" s="7"/>
      <c r="Q363" s="7"/>
      <c r="R363" s="7"/>
      <c r="S363" s="7"/>
      <c r="T363" s="7"/>
      <c r="U363" s="7"/>
    </row>
    <row r="364" spans="1:21" outlineLevel="1">
      <c r="A364" s="7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7"/>
      <c r="P364" s="7"/>
      <c r="Q364" s="7"/>
      <c r="R364" s="7"/>
      <c r="S364" s="7"/>
      <c r="T364" s="7"/>
      <c r="U364" s="7"/>
    </row>
    <row r="365" spans="1:21" outlineLevel="1">
      <c r="A365" s="86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7"/>
      <c r="P365" s="7"/>
      <c r="Q365" s="7"/>
      <c r="R365" s="7"/>
      <c r="S365" s="7"/>
      <c r="T365" s="7"/>
      <c r="U365" s="7"/>
    </row>
    <row r="366" spans="1:21" outlineLevel="1">
      <c r="A366" s="57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7"/>
      <c r="P366" s="7"/>
      <c r="Q366" s="7"/>
      <c r="R366" s="7"/>
      <c r="S366" s="7"/>
      <c r="T366" s="7"/>
      <c r="U366" s="7"/>
    </row>
    <row r="367" spans="1:21" outlineLevel="1">
      <c r="A367" s="86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7"/>
      <c r="P367" s="7"/>
      <c r="Q367" s="7"/>
      <c r="R367" s="7"/>
      <c r="S367" s="7"/>
      <c r="T367" s="7"/>
      <c r="U367" s="7"/>
    </row>
    <row r="368" spans="1:21" outlineLevel="1">
      <c r="A368" s="57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7"/>
      <c r="P368" s="7"/>
      <c r="Q368" s="7"/>
      <c r="R368" s="7"/>
      <c r="S368" s="7"/>
      <c r="T368" s="7"/>
      <c r="U368" s="7"/>
    </row>
    <row r="369" spans="1:21" outlineLevel="1">
      <c r="A369" s="57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7"/>
      <c r="P370" s="7"/>
      <c r="Q370" s="7"/>
      <c r="R370" s="7"/>
      <c r="S370" s="7"/>
      <c r="T370" s="7"/>
      <c r="U370" s="7"/>
    </row>
    <row r="371" spans="1:21" outlineLevel="1">
      <c r="A371" s="57"/>
      <c r="B371" s="101"/>
      <c r="C371"/>
      <c r="D371"/>
      <c r="E371"/>
      <c r="F371"/>
      <c r="G371"/>
      <c r="H371"/>
      <c r="I371"/>
      <c r="J371" s="101"/>
      <c r="K371" s="101"/>
      <c r="L371" s="101"/>
      <c r="M371" s="101"/>
      <c r="N371" s="101"/>
      <c r="O371" s="7"/>
      <c r="P371" s="7"/>
      <c r="Q371" s="7"/>
      <c r="R371" s="7"/>
      <c r="S371" s="7"/>
      <c r="T371" s="7"/>
      <c r="U371" s="7"/>
    </row>
    <row r="372" spans="1:21" outlineLevel="1">
      <c r="A372" s="57"/>
      <c r="B372" s="101"/>
      <c r="C372"/>
      <c r="D372"/>
      <c r="E372"/>
      <c r="F372"/>
      <c r="G372"/>
      <c r="H372"/>
      <c r="I372"/>
      <c r="J372" s="101"/>
      <c r="K372" s="101"/>
      <c r="L372" s="101"/>
      <c r="M372" s="101"/>
      <c r="N372" s="101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101"/>
      <c r="C373"/>
      <c r="D373"/>
      <c r="E373"/>
      <c r="F373"/>
      <c r="G373"/>
      <c r="H373"/>
      <c r="I373"/>
      <c r="J373" s="101"/>
      <c r="K373" s="101"/>
      <c r="L373" s="101"/>
      <c r="M373" s="101"/>
      <c r="N373" s="101"/>
      <c r="O373" s="7"/>
      <c r="P373" s="7"/>
      <c r="Q373" s="7"/>
      <c r="R373" s="7"/>
      <c r="S373" s="7"/>
      <c r="T373" s="7"/>
      <c r="U373" s="7"/>
    </row>
    <row r="374" spans="1:21" outlineLevel="1">
      <c r="A374" s="57"/>
      <c r="B374" s="101"/>
      <c r="C374"/>
      <c r="D374"/>
      <c r="E374"/>
      <c r="F374"/>
      <c r="G374"/>
      <c r="H374"/>
      <c r="I374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57"/>
      <c r="B375" s="101"/>
      <c r="C375"/>
      <c r="D375"/>
      <c r="E375"/>
      <c r="F375"/>
      <c r="G375"/>
      <c r="H375"/>
      <c r="I375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7"/>
      <c r="B376" s="101"/>
      <c r="C376"/>
      <c r="D376"/>
      <c r="E376"/>
      <c r="F376"/>
      <c r="G376"/>
      <c r="H376"/>
      <c r="I376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</row>
    <row r="377" spans="1:21" outlineLevel="1">
      <c r="A377" s="7"/>
      <c r="B377" s="101"/>
      <c r="C377"/>
      <c r="D377"/>
      <c r="E377"/>
      <c r="F377"/>
      <c r="G377"/>
      <c r="H377"/>
      <c r="I377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</row>
    <row r="378" spans="1:21" outlineLevel="1">
      <c r="A378" s="7"/>
      <c r="B378" s="101"/>
      <c r="C378"/>
      <c r="D378"/>
      <c r="E378"/>
      <c r="F378"/>
      <c r="G378"/>
      <c r="H378"/>
      <c r="I378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</row>
    <row r="379" spans="1:21" outlineLevel="1">
      <c r="A379" s="7"/>
      <c r="B379" s="101"/>
      <c r="C379"/>
      <c r="D379"/>
      <c r="E379"/>
      <c r="F379"/>
      <c r="G379"/>
      <c r="H379"/>
      <c r="I379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</row>
    <row r="380" spans="1:21" outlineLevel="1">
      <c r="A380" s="7"/>
      <c r="B380" s="101"/>
      <c r="C380"/>
      <c r="D380"/>
      <c r="E380"/>
      <c r="F380"/>
      <c r="G380"/>
      <c r="H380"/>
      <c r="I380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</row>
    <row r="381" spans="1:21" outlineLevel="1">
      <c r="A381" s="7"/>
      <c r="B381" s="101"/>
      <c r="C381"/>
      <c r="D381"/>
      <c r="E381"/>
      <c r="F381"/>
      <c r="G381"/>
      <c r="H381"/>
      <c r="I38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</row>
    <row r="382" spans="1:21" outlineLevel="1">
      <c r="A382" s="57"/>
      <c r="B382" s="101"/>
      <c r="C382"/>
      <c r="D382"/>
      <c r="E382"/>
      <c r="F382"/>
      <c r="G382"/>
      <c r="H382"/>
      <c r="I382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</row>
    <row r="383" spans="1:21" outlineLevel="1">
      <c r="A383" s="7"/>
      <c r="B383" s="101"/>
      <c r="C383"/>
      <c r="D383"/>
      <c r="E383"/>
      <c r="F383"/>
      <c r="G383"/>
      <c r="H383"/>
      <c r="I383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</row>
    <row r="384" spans="1:21" outlineLevel="1">
      <c r="A384" s="7"/>
      <c r="B384" s="101"/>
      <c r="C384"/>
      <c r="D384"/>
      <c r="E384"/>
      <c r="F384"/>
      <c r="G384"/>
      <c r="H384"/>
      <c r="I384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</row>
    <row r="385" spans="1:21" outlineLevel="1">
      <c r="A385" s="57"/>
      <c r="B385" s="101"/>
      <c r="C385"/>
      <c r="D385"/>
      <c r="E385"/>
      <c r="F385"/>
      <c r="G385"/>
      <c r="H385"/>
      <c r="I385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</row>
    <row r="386" spans="1:21" outlineLevel="1">
      <c r="A386" s="57"/>
      <c r="B386" s="101"/>
      <c r="C386"/>
      <c r="D386"/>
      <c r="E386"/>
      <c r="F386"/>
      <c r="G386"/>
      <c r="H386"/>
      <c r="I386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</row>
    <row r="387" spans="1:21" outlineLevel="1">
      <c r="A387" s="7"/>
      <c r="B387" s="101"/>
      <c r="C387"/>
      <c r="D387"/>
      <c r="E387"/>
      <c r="F387"/>
      <c r="G387"/>
      <c r="H387"/>
      <c r="I387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</row>
    <row r="388" spans="1:21" outlineLevel="1">
      <c r="A388" s="7"/>
      <c r="B388" s="101"/>
      <c r="C388"/>
      <c r="D388"/>
      <c r="E388"/>
      <c r="F388"/>
      <c r="G388"/>
      <c r="H388"/>
      <c r="I388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</row>
    <row r="389" spans="1:21" outlineLevel="1">
      <c r="A389" s="7"/>
      <c r="B389" s="101"/>
      <c r="C389"/>
      <c r="D389"/>
      <c r="E389"/>
      <c r="F389"/>
      <c r="G389"/>
      <c r="H389"/>
      <c r="I389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</row>
    <row r="390" spans="1:21" outlineLevel="1">
      <c r="A390" s="7"/>
      <c r="B390" s="101"/>
      <c r="C390"/>
      <c r="D390"/>
      <c r="E390"/>
      <c r="F390"/>
      <c r="G390"/>
      <c r="H390"/>
      <c r="I390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</row>
    <row r="391" spans="1:21" outlineLevel="1">
      <c r="A391" s="7"/>
      <c r="B391" s="101"/>
      <c r="C391"/>
      <c r="D391"/>
      <c r="E391"/>
      <c r="F391"/>
      <c r="G391"/>
      <c r="H391"/>
      <c r="I39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</row>
    <row r="392" spans="1:21" outlineLevel="1">
      <c r="A392" s="7"/>
      <c r="B392" s="101"/>
      <c r="C392"/>
      <c r="D392"/>
      <c r="E392"/>
      <c r="F392"/>
      <c r="G392"/>
      <c r="H392"/>
      <c r="I392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</row>
    <row r="393" spans="1:21" outlineLevel="1">
      <c r="A393" s="7"/>
      <c r="B393" s="101"/>
      <c r="C393"/>
      <c r="D393"/>
      <c r="E393"/>
      <c r="F393"/>
      <c r="G393"/>
      <c r="H393"/>
      <c r="I393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</row>
    <row r="394" spans="1:21" outlineLevel="1">
      <c r="A394" s="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57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5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5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5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57"/>
      <c r="B399" s="102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7"/>
      <c r="P399" s="7"/>
      <c r="Q399" s="7"/>
      <c r="R399" s="7"/>
      <c r="S399" s="7"/>
      <c r="T399" s="7"/>
      <c r="U399" s="7"/>
    </row>
    <row r="400" spans="1:21" outlineLevel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8.75" outlineLevel="1">
      <c r="A401" s="8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outlineLevel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outlineLevel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outlineLevel="1">
      <c r="A405" s="2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</row>
    <row r="406" spans="1:21" outlineLevel="1">
      <c r="A406" s="7"/>
      <c r="B406" s="7"/>
      <c r="C406" s="7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7"/>
      <c r="C407" s="73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7"/>
      <c r="P407" s="7"/>
      <c r="Q407" s="7"/>
      <c r="R407" s="7"/>
      <c r="S407" s="7"/>
      <c r="T407" s="7"/>
      <c r="U407" s="7"/>
    </row>
    <row r="408" spans="1:21" outlineLevel="1">
      <c r="A408" s="7"/>
      <c r="B408" s="7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"/>
      <c r="P408" s="7"/>
      <c r="Q408" s="7"/>
      <c r="R408" s="7"/>
      <c r="S408" s="7"/>
      <c r="T408" s="7"/>
      <c r="U408" s="7"/>
    </row>
    <row r="409" spans="1:21" outlineLevel="1">
      <c r="A409" s="7"/>
      <c r="B409" s="7"/>
      <c r="C409" s="73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7"/>
      <c r="P409" s="7"/>
      <c r="Q409" s="7"/>
      <c r="R409" s="7"/>
      <c r="S409" s="7"/>
      <c r="T409" s="7"/>
      <c r="U409" s="7"/>
    </row>
    <row r="410" spans="1:21" outlineLevel="1">
      <c r="A410" s="7"/>
      <c r="B410" s="7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"/>
      <c r="P410" s="7"/>
      <c r="Q410" s="7"/>
      <c r="R410" s="7"/>
      <c r="S410" s="7"/>
      <c r="T410" s="7"/>
      <c r="U410" s="7"/>
    </row>
    <row r="411" spans="1:21" outlineLevel="1">
      <c r="A411" s="7"/>
      <c r="B411" s="7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"/>
      <c r="P411" s="7"/>
      <c r="Q411" s="7"/>
      <c r="R411" s="7"/>
      <c r="S411" s="7"/>
      <c r="T411" s="7"/>
      <c r="U411" s="7"/>
    </row>
    <row r="412" spans="1:21" outlineLevel="1">
      <c r="A412" s="94"/>
      <c r="B412" s="7"/>
      <c r="C412" s="73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7"/>
      <c r="P412" s="7"/>
      <c r="Q412" s="7"/>
      <c r="R412" s="7"/>
      <c r="S412" s="7"/>
      <c r="T412" s="7"/>
      <c r="U412" s="7"/>
    </row>
    <row r="413" spans="1:21" outlineLevel="1">
      <c r="A413" s="94"/>
      <c r="B413" s="7"/>
      <c r="C413" s="73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7"/>
      <c r="C414" s="7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outlineLevel="1">
      <c r="A415" s="7"/>
      <c r="B415" s="102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7"/>
      <c r="P415" s="7"/>
      <c r="Q415" s="7"/>
      <c r="R415" s="7"/>
      <c r="S415" s="7"/>
      <c r="T415" s="7"/>
      <c r="U415" s="7"/>
    </row>
    <row r="416" spans="1:21" outlineLevel="1">
      <c r="A416" s="7"/>
      <c r="B416" s="7"/>
      <c r="C416" s="7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outlineLevel="1">
      <c r="A417" s="57"/>
      <c r="B417" s="7"/>
      <c r="C417" s="73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7"/>
      <c r="P417" s="7"/>
      <c r="Q417" s="7"/>
      <c r="R417" s="7"/>
      <c r="S417" s="7"/>
      <c r="T417" s="7"/>
      <c r="U417" s="7"/>
    </row>
    <row r="418" spans="1:21" outlineLevel="1">
      <c r="A418" s="7"/>
      <c r="B418" s="7"/>
      <c r="C418" s="73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7"/>
      <c r="P418" s="7"/>
      <c r="Q418" s="7"/>
      <c r="R418" s="7"/>
      <c r="S418" s="7"/>
      <c r="T418" s="7"/>
      <c r="U418" s="7"/>
    </row>
    <row r="419" spans="1:21" outlineLevel="1">
      <c r="A419" s="57"/>
      <c r="B419" s="7"/>
      <c r="C419" s="73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7"/>
      <c r="P419" s="7"/>
      <c r="Q419" s="7"/>
      <c r="R419" s="7"/>
      <c r="S419" s="7"/>
      <c r="T419" s="7"/>
      <c r="U419" s="7"/>
    </row>
    <row r="420" spans="1:21" outlineLevel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outlineLevel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s="106" customFormat="1" ht="18.75" outlineLevel="1">
      <c r="A422" s="104"/>
      <c r="B422" s="105"/>
      <c r="C422" s="105"/>
    </row>
    <row r="423" spans="1:21" s="106" customFormat="1" outlineLevel="1">
      <c r="A423" s="105"/>
      <c r="B423" s="107"/>
      <c r="C423" s="108"/>
      <c r="D423" s="105"/>
      <c r="E423" s="109"/>
    </row>
    <row r="424" spans="1:21" s="106" customFormat="1" outlineLevel="1">
      <c r="A424" s="105"/>
      <c r="B424" s="110"/>
      <c r="C424" s="88"/>
      <c r="D424" s="88"/>
      <c r="E424" s="109"/>
    </row>
    <row r="425" spans="1:21" s="106" customFormat="1" outlineLevel="1">
      <c r="A425" s="105"/>
      <c r="B425" s="88"/>
      <c r="C425" s="109"/>
      <c r="D425" s="88"/>
      <c r="E425" s="110"/>
    </row>
    <row r="426" spans="1:21" s="106" customFormat="1" outlineLevel="1">
      <c r="A426" s="111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</row>
    <row r="427" spans="1:21" s="106" customFormat="1" outlineLevel="1">
      <c r="A427" s="80"/>
      <c r="B427" s="105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</row>
    <row r="428" spans="1:21" s="106" customFormat="1" outlineLevel="1">
      <c r="A428" s="79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</row>
    <row r="429" spans="1:21" s="106" customFormat="1" outlineLevel="1">
      <c r="A429" s="79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</row>
    <row r="430" spans="1:21" s="106" customFormat="1" outlineLevel="1">
      <c r="A430" s="79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</row>
    <row r="431" spans="1:21" s="106" customFormat="1" outlineLevel="1">
      <c r="A431" s="78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</row>
    <row r="432" spans="1:21" s="106" customFormat="1" outlineLevel="1">
      <c r="A432" s="69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</row>
    <row r="433" spans="1:21" s="106" customFormat="1" outlineLevel="1">
      <c r="A433" s="80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</row>
    <row r="434" spans="1:21" s="106" customFormat="1" outlineLevel="1">
      <c r="A434" s="113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</row>
    <row r="435" spans="1:21" s="106" customFormat="1" outlineLevel="1">
      <c r="A435" s="113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</row>
    <row r="436" spans="1:21" s="106" customFormat="1" outlineLevel="1">
      <c r="A436" s="113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</row>
    <row r="437" spans="1:21" s="106" customFormat="1" outlineLevel="1">
      <c r="A437" s="113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</row>
    <row r="438" spans="1:21" s="106" customFormat="1" outlineLevel="1">
      <c r="A438" s="113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</row>
    <row r="439" spans="1:21" s="106" customFormat="1" outlineLevel="1">
      <c r="A439" s="83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</row>
    <row r="440" spans="1:21" s="106" customFormat="1" outlineLevel="1">
      <c r="A440" s="113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</row>
    <row r="441" spans="1:21" s="106" customFormat="1" outlineLevel="1">
      <c r="A441" s="113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</row>
    <row r="442" spans="1:21" s="106" customFormat="1" outlineLevel="1">
      <c r="A442" s="113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</row>
    <row r="443" spans="1:21" s="106" customFormat="1" outlineLevel="1">
      <c r="A443" s="113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</row>
    <row r="444" spans="1:21" s="106" customFormat="1" outlineLevel="1">
      <c r="A444" s="113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</row>
    <row r="445" spans="1:21" s="106" customFormat="1" outlineLevel="1">
      <c r="A445" s="80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</row>
    <row r="446" spans="1:21" s="106" customFormat="1" outlineLevel="1">
      <c r="A446" s="80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</row>
    <row r="447" spans="1:21" s="106" customFormat="1" outlineLevel="1">
      <c r="A447" s="80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</row>
    <row r="448" spans="1:21" s="106" customFormat="1" outlineLevel="1">
      <c r="A448" s="80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</row>
    <row r="449" spans="1:21" s="106" customFormat="1" outlineLevel="1">
      <c r="A449" s="79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</row>
    <row r="450" spans="1:21" s="106" customFormat="1" outlineLevel="1">
      <c r="A450" s="79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</row>
    <row r="451" spans="1:21" s="106" customFormat="1" outlineLevel="1">
      <c r="A451" s="80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</row>
    <row r="452" spans="1:21" s="106" customFormat="1" outlineLevel="1">
      <c r="A452" s="82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</row>
    <row r="453" spans="1:21" s="106" customFormat="1" outlineLevel="1">
      <c r="A453" s="79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</row>
    <row r="454" spans="1:21" s="106" customFormat="1" ht="13.9" customHeight="1" outlineLevel="1">
      <c r="A454" s="78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</row>
    <row r="455" spans="1:21" s="116" customFormat="1" outlineLevel="1">
      <c r="A455" s="115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</row>
    <row r="456" spans="1:21" s="106" customFormat="1" outlineLevel="1">
      <c r="A456" s="78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</row>
    <row r="457" spans="1:21" s="106" customFormat="1" outlineLevel="1">
      <c r="A457" s="79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79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79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outlineLevel="1">
      <c r="A461" s="80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16" customFormat="1" outlineLevel="1">
      <c r="A462" s="117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/>
      <c r="B463"/>
      <c r="C463"/>
      <c r="D463"/>
      <c r="E463"/>
      <c r="F463"/>
      <c r="G463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/>
      <c r="B464"/>
      <c r="C464"/>
      <c r="D464"/>
      <c r="E464"/>
      <c r="F464"/>
      <c r="G464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/>
      <c r="B465"/>
      <c r="C465"/>
      <c r="D465"/>
      <c r="E465"/>
      <c r="F465"/>
      <c r="G465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/>
      <c r="B466"/>
      <c r="C466"/>
      <c r="D466"/>
      <c r="E466"/>
      <c r="F466"/>
      <c r="G466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/>
      <c r="B467"/>
      <c r="C467"/>
      <c r="D467"/>
      <c r="E467"/>
      <c r="F467"/>
      <c r="G467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16" customFormat="1" outlineLevel="1">
      <c r="A468"/>
      <c r="B468"/>
      <c r="C468"/>
      <c r="D468"/>
      <c r="E468"/>
      <c r="F468"/>
      <c r="G468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/>
      <c r="B469"/>
      <c r="C469"/>
      <c r="D469"/>
      <c r="E469"/>
      <c r="F469"/>
      <c r="G469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/>
      <c r="B470"/>
      <c r="C470"/>
      <c r="D470"/>
      <c r="E470"/>
      <c r="F470"/>
      <c r="G470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/>
      <c r="B471"/>
      <c r="C471"/>
      <c r="D471"/>
      <c r="E471"/>
      <c r="F471"/>
      <c r="G471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16" customFormat="1" outlineLevel="1">
      <c r="A472"/>
      <c r="B472"/>
      <c r="C472"/>
      <c r="D472"/>
      <c r="E472"/>
      <c r="F472"/>
      <c r="G47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/>
      <c r="B473"/>
      <c r="C473"/>
      <c r="D473"/>
      <c r="E473"/>
      <c r="F473"/>
      <c r="G473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16" customFormat="1" outlineLevel="1">
      <c r="A474"/>
      <c r="B474"/>
      <c r="C474"/>
      <c r="D474"/>
      <c r="E474"/>
      <c r="F474"/>
      <c r="G474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/>
      <c r="B475"/>
      <c r="C475"/>
      <c r="D475"/>
      <c r="E475"/>
      <c r="F475"/>
      <c r="G475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/>
      <c r="B476"/>
      <c r="C476"/>
      <c r="D476"/>
      <c r="E476"/>
      <c r="F476"/>
      <c r="G476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/>
      <c r="B477"/>
      <c r="C477"/>
      <c r="D477"/>
      <c r="E477"/>
      <c r="F477"/>
      <c r="G477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outlineLevel="1">
      <c r="A478"/>
      <c r="B478"/>
      <c r="C478"/>
      <c r="D478"/>
      <c r="E478"/>
      <c r="F478"/>
      <c r="G47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outlineLevel="1">
      <c r="A479"/>
      <c r="B479"/>
      <c r="C479"/>
      <c r="D479"/>
      <c r="E479"/>
      <c r="F479"/>
      <c r="G479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outlineLevel="1">
      <c r="A480"/>
      <c r="B480"/>
      <c r="C480"/>
      <c r="D480"/>
      <c r="E480"/>
      <c r="F480"/>
      <c r="G480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8.75" outlineLevel="1">
      <c r="A481" s="8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outlineLevel="1">
      <c r="A482" s="5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outlineLevel="1">
      <c r="A483" s="118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7"/>
      <c r="N483" s="7"/>
      <c r="O483" s="7"/>
      <c r="P483" s="7"/>
      <c r="Q483" s="7"/>
      <c r="R483" s="7"/>
      <c r="S483" s="7"/>
      <c r="T483" s="7"/>
      <c r="U483" s="7"/>
    </row>
    <row r="484" spans="1:21" outlineLevel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outlineLevel="1">
      <c r="A485" s="2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idden="1" outlineLevel="2">
      <c r="A486" s="5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idden="1" outlineLevel="2">
      <c r="A487" s="86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idden="1" outlineLevel="2">
      <c r="A488" s="86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idden="1" outlineLevel="2">
      <c r="A489" s="119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idden="1" outlineLevel="2">
      <c r="A490" s="86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idden="1" outlineLevel="2">
      <c r="A491" s="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idden="1" outlineLevel="2">
      <c r="A492" s="5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idden="1" outlineLevel="2">
      <c r="A493" s="86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idden="1" outlineLevel="2">
      <c r="A494" s="86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idden="1" outlineLevel="2">
      <c r="A495" s="86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idden="1" outlineLevel="2">
      <c r="A496" s="86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idden="1" outlineLevel="2">
      <c r="A497" s="86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idden="1" outlineLevel="2">
      <c r="A498" s="86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idden="1" outlineLevel="2">
      <c r="A499" s="86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idden="1" outlineLevel="2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2">
      <c r="A501" s="86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2">
      <c r="A502" s="86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2">
      <c r="A503" s="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2">
      <c r="A504" s="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2">
      <c r="A505" s="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2">
      <c r="A506" s="86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2">
      <c r="A507" s="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2">
      <c r="A508" s="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2">
      <c r="A509" s="5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2">
      <c r="A510" s="86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outlineLevel="1" collapsed="1">
      <c r="A511" s="5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outlineLevel="1">
      <c r="A512" s="5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outlineLevel="1">
      <c r="A513" s="5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outlineLevel="1">
      <c r="A514" s="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outlineLevel="1">
      <c r="A515" s="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outlineLevel="1">
      <c r="A516" s="5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outlineLevel="1">
      <c r="A517" s="5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outlineLevel="1">
      <c r="A518" s="5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outlineLevel="1">
      <c r="A519" s="5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>
      <c r="A520" s="7"/>
      <c r="B520" s="7"/>
      <c r="C520" s="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>
      <c r="A521" s="7"/>
      <c r="B521" s="7"/>
      <c r="C521" s="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>
      <c r="A522" s="7"/>
      <c r="B522" s="7"/>
      <c r="C522" s="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>
      <c r="A523" s="7"/>
      <c r="B523" s="7"/>
      <c r="C523" s="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>
      <c r="A524" s="7"/>
      <c r="B524" s="7"/>
      <c r="C524" s="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</sheetData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2:K56"/>
  <sheetViews>
    <sheetView zoomScale="75" zoomScaleNormal="75" workbookViewId="0"/>
  </sheetViews>
  <sheetFormatPr defaultRowHeight="12.75"/>
  <cols>
    <col min="1" max="1" width="52.28515625" customWidth="1"/>
    <col min="2" max="2" width="12.7109375" customWidth="1"/>
    <col min="3" max="3" width="12.42578125" customWidth="1"/>
    <col min="4" max="6" width="12.7109375" customWidth="1"/>
    <col min="9" max="9" width="20.28515625" bestFit="1" customWidth="1"/>
    <col min="10" max="10" width="12" bestFit="1" customWidth="1"/>
    <col min="11" max="11" width="20.28515625" bestFit="1" customWidth="1"/>
  </cols>
  <sheetData>
    <row r="2" spans="1:11" ht="18.75">
      <c r="A2" s="52" t="s">
        <v>272</v>
      </c>
      <c r="B2" s="55"/>
      <c r="C2" s="55"/>
      <c r="D2" s="23"/>
      <c r="E2" s="419"/>
      <c r="F2" s="23"/>
    </row>
    <row r="3" spans="1:11">
      <c r="A3" s="16"/>
      <c r="B3" s="16"/>
      <c r="C3" s="16"/>
      <c r="D3" s="23"/>
      <c r="E3" s="23"/>
      <c r="F3" s="23"/>
    </row>
    <row r="4" spans="1:11" ht="13.5" thickBot="1">
      <c r="A4" s="194" t="s">
        <v>56</v>
      </c>
      <c r="B4" s="194"/>
      <c r="C4" s="482">
        <v>36892</v>
      </c>
      <c r="D4" s="258">
        <v>37256</v>
      </c>
      <c r="E4" s="258">
        <v>37621</v>
      </c>
      <c r="F4" s="258">
        <v>37986</v>
      </c>
    </row>
    <row r="5" spans="1:11">
      <c r="A5" s="16"/>
      <c r="B5" s="16"/>
      <c r="C5" s="16"/>
      <c r="D5" s="301"/>
      <c r="E5" s="301"/>
      <c r="F5" s="301"/>
    </row>
    <row r="6" spans="1:11">
      <c r="A6" s="14"/>
      <c r="B6" s="14"/>
      <c r="C6" s="14"/>
      <c r="D6" s="23"/>
      <c r="E6" s="23"/>
      <c r="F6" s="23"/>
    </row>
    <row r="7" spans="1:11">
      <c r="A7" s="39" t="s">
        <v>9</v>
      </c>
      <c r="B7" s="39"/>
      <c r="C7" s="39"/>
      <c r="D7" s="16"/>
      <c r="E7" s="16"/>
      <c r="F7" s="16"/>
    </row>
    <row r="8" spans="1:11">
      <c r="A8" s="21" t="s">
        <v>244</v>
      </c>
      <c r="B8" s="21"/>
      <c r="C8" s="21"/>
      <c r="D8" s="304">
        <f>'Power Price Assumption'!C25-4</f>
        <v>1.5521731295013845</v>
      </c>
      <c r="E8" s="304">
        <f>'Power Price Assumption'!D25-4</f>
        <v>1.8274852891362618</v>
      </c>
      <c r="F8" s="304">
        <f>'Power Price Assumption'!E25-4</f>
        <v>2.1164491817907853</v>
      </c>
    </row>
    <row r="9" spans="1:11">
      <c r="A9" s="16" t="s">
        <v>229</v>
      </c>
      <c r="B9" s="16"/>
      <c r="C9" s="16"/>
      <c r="D9" s="19">
        <f>Assumptions!$C$9</f>
        <v>458</v>
      </c>
      <c r="E9" s="19">
        <f>Assumptions!$C$9</f>
        <v>458</v>
      </c>
      <c r="F9" s="19">
        <f>Assumptions!$C$9</f>
        <v>458</v>
      </c>
    </row>
    <row r="10" spans="1:11">
      <c r="A10" s="16" t="s">
        <v>238</v>
      </c>
      <c r="B10" s="16"/>
      <c r="C10" s="16">
        <v>0</v>
      </c>
      <c r="D10" s="19">
        <f>D8*D9*12</f>
        <v>8530.743519739608</v>
      </c>
      <c r="E10" s="19">
        <f>E8*E9*12</f>
        <v>10043.859149092896</v>
      </c>
      <c r="F10" s="19">
        <f>F8*F9*12</f>
        <v>11632.004703122157</v>
      </c>
    </row>
    <row r="11" spans="1:11">
      <c r="A11" t="s">
        <v>239</v>
      </c>
      <c r="B11" s="487">
        <f>'Summary Output'!$E$27</f>
        <v>0.10996598639455782</v>
      </c>
      <c r="C11" s="488">
        <f>XNPV(B11,C10:F10,C4:F4)</f>
        <v>24350.87386460862</v>
      </c>
      <c r="J11" s="486"/>
      <c r="K11" s="486"/>
    </row>
    <row r="13" spans="1:11">
      <c r="A13" s="39" t="s">
        <v>10</v>
      </c>
      <c r="B13" s="39"/>
      <c r="C13" s="39"/>
      <c r="D13" s="16"/>
      <c r="E13" s="16"/>
      <c r="F13" s="16"/>
    </row>
    <row r="14" spans="1:11">
      <c r="A14" s="21" t="s">
        <v>244</v>
      </c>
      <c r="B14" s="21"/>
      <c r="C14" s="21"/>
      <c r="D14" s="304">
        <f>D8</f>
        <v>1.5521731295013845</v>
      </c>
      <c r="E14" s="304">
        <f>E8</f>
        <v>1.8274852891362618</v>
      </c>
      <c r="F14" s="304">
        <f>F8</f>
        <v>2.1164491817907853</v>
      </c>
    </row>
    <row r="15" spans="1:11">
      <c r="A15" s="16" t="s">
        <v>229</v>
      </c>
      <c r="B15" s="16"/>
      <c r="C15" s="16"/>
      <c r="D15" s="19">
        <f>Assumptions!$D$9</f>
        <v>466</v>
      </c>
      <c r="E15" s="19">
        <f>Assumptions!$D$9</f>
        <v>466</v>
      </c>
      <c r="F15" s="19">
        <f>Assumptions!$D$9</f>
        <v>466</v>
      </c>
    </row>
    <row r="16" spans="1:11">
      <c r="A16" s="16" t="s">
        <v>238</v>
      </c>
      <c r="B16" s="16"/>
      <c r="C16" s="16">
        <v>0</v>
      </c>
      <c r="D16" s="19">
        <f>D14*D15*12</f>
        <v>8679.7521401717422</v>
      </c>
      <c r="E16" s="19">
        <f>E14*E15*12</f>
        <v>10219.297736849976</v>
      </c>
      <c r="F16" s="19">
        <f>F14*F15*12</f>
        <v>11835.183824574071</v>
      </c>
    </row>
    <row r="17" spans="1:6">
      <c r="A17" t="s">
        <v>239</v>
      </c>
      <c r="B17" s="487">
        <f>'Summary Output'!$E$27</f>
        <v>0.10996598639455782</v>
      </c>
      <c r="C17" s="488">
        <f>XNPV(B17,C16:F16,C4:F4)</f>
        <v>24776.216639536284</v>
      </c>
    </row>
    <row r="19" spans="1:6">
      <c r="A19" s="39" t="s">
        <v>11</v>
      </c>
      <c r="B19" s="39"/>
      <c r="C19" s="39"/>
      <c r="D19" s="16"/>
      <c r="E19" s="16"/>
      <c r="F19" s="16"/>
    </row>
    <row r="20" spans="1:6">
      <c r="A20" s="21" t="s">
        <v>244</v>
      </c>
      <c r="B20" s="21"/>
      <c r="C20" s="21"/>
      <c r="D20" s="304">
        <f>D8</f>
        <v>1.5521731295013845</v>
      </c>
      <c r="E20" s="304">
        <f>E8</f>
        <v>1.8274852891362618</v>
      </c>
      <c r="F20" s="304">
        <f>F8</f>
        <v>2.1164491817907853</v>
      </c>
    </row>
    <row r="21" spans="1:6">
      <c r="A21" s="16" t="s">
        <v>229</v>
      </c>
      <c r="B21" s="16"/>
      <c r="C21" s="16"/>
      <c r="D21" s="19">
        <f>Assumptions!$E$9</f>
        <v>371</v>
      </c>
      <c r="E21" s="19">
        <f>Assumptions!$E$9</f>
        <v>371</v>
      </c>
      <c r="F21" s="19">
        <f>Assumptions!$E$9</f>
        <v>371</v>
      </c>
    </row>
    <row r="22" spans="1:6">
      <c r="A22" s="16" t="s">
        <v>238</v>
      </c>
      <c r="B22" s="16"/>
      <c r="C22" s="16">
        <v>0</v>
      </c>
      <c r="D22" s="19">
        <f>D20*D21*12</f>
        <v>6910.2747725401641</v>
      </c>
      <c r="E22" s="19">
        <f>E20*E21*12</f>
        <v>8135.9645072346375</v>
      </c>
      <c r="F22" s="19">
        <f>F20*F21*12</f>
        <v>9422.4317573325752</v>
      </c>
    </row>
    <row r="23" spans="1:6">
      <c r="A23" t="s">
        <v>239</v>
      </c>
      <c r="B23" s="487">
        <f>'Summary Output'!$E$27</f>
        <v>0.10996598639455782</v>
      </c>
      <c r="C23" s="488">
        <f>XNPV(B23,C22:F22,$C$4:$F$4)</f>
        <v>19725.271187270304</v>
      </c>
    </row>
    <row r="25" spans="1:6">
      <c r="A25" s="39" t="s">
        <v>103</v>
      </c>
      <c r="B25" s="39"/>
      <c r="C25" s="39"/>
      <c r="D25" s="16"/>
      <c r="E25" s="16"/>
      <c r="F25" s="16"/>
    </row>
    <row r="26" spans="1:6">
      <c r="A26" s="21" t="s">
        <v>244</v>
      </c>
      <c r="B26" s="21"/>
      <c r="C26" s="21"/>
      <c r="D26" s="304">
        <f>D8</f>
        <v>1.5521731295013845</v>
      </c>
      <c r="E26" s="304">
        <f>E8</f>
        <v>1.8274852891362618</v>
      </c>
      <c r="F26" s="304">
        <f>F8</f>
        <v>2.1164491817907853</v>
      </c>
    </row>
    <row r="27" spans="1:6">
      <c r="A27" s="16" t="s">
        <v>229</v>
      </c>
      <c r="B27" s="16"/>
      <c r="C27" s="16"/>
      <c r="D27" s="19">
        <f>Assumptions!$G$9</f>
        <v>510</v>
      </c>
      <c r="E27" s="19">
        <f>Assumptions!$G$9</f>
        <v>510</v>
      </c>
      <c r="F27" s="19">
        <f>Assumptions!$G$9</f>
        <v>510</v>
      </c>
    </row>
    <row r="28" spans="1:6">
      <c r="A28" s="16" t="s">
        <v>238</v>
      </c>
      <c r="B28" s="16"/>
      <c r="C28" s="16">
        <v>0</v>
      </c>
      <c r="D28" s="19">
        <f>D26*D27*12</f>
        <v>9499.299552548473</v>
      </c>
      <c r="E28" s="19">
        <f>E26*E27*12</f>
        <v>11184.209969513922</v>
      </c>
      <c r="F28" s="19">
        <f>F26*F27*12</f>
        <v>12952.668992559606</v>
      </c>
    </row>
    <row r="29" spans="1:6">
      <c r="A29" t="s">
        <v>239</v>
      </c>
      <c r="B29" s="487">
        <f>'Summary Output'!$E$27</f>
        <v>0.10996598639455782</v>
      </c>
      <c r="C29" s="488">
        <f>XNPV(B29,C28:F28,$C$4:$F$4)</f>
        <v>27115.601901638423</v>
      </c>
    </row>
    <row r="31" spans="1:6">
      <c r="A31" s="39" t="s">
        <v>12</v>
      </c>
      <c r="B31" s="39"/>
      <c r="C31" s="39"/>
      <c r="D31" s="16"/>
      <c r="E31" s="16"/>
      <c r="F31" s="16"/>
    </row>
    <row r="32" spans="1:6">
      <c r="A32" s="21" t="s">
        <v>244</v>
      </c>
      <c r="B32" s="21"/>
      <c r="C32" s="21"/>
      <c r="D32" s="304">
        <f>'Power Price Assumption'!C38-4</f>
        <v>1.7985248261524829</v>
      </c>
      <c r="E32" s="304">
        <f>'Power Price Assumption'!D38-4</f>
        <v>2.1059584314016009</v>
      </c>
      <c r="F32" s="304">
        <f>'Power Price Assumption'!E38-4</f>
        <v>2.4296919447256471</v>
      </c>
    </row>
    <row r="33" spans="1:6">
      <c r="A33" s="16" t="s">
        <v>229</v>
      </c>
      <c r="B33" s="16"/>
      <c r="C33" s="16"/>
      <c r="D33" s="19">
        <f>Assumptions!$H$9</f>
        <v>470</v>
      </c>
      <c r="E33" s="19">
        <f>Assumptions!$H$9</f>
        <v>470</v>
      </c>
      <c r="F33" s="19">
        <f>Assumptions!$H$9</f>
        <v>470</v>
      </c>
    </row>
    <row r="34" spans="1:6">
      <c r="A34" s="16" t="s">
        <v>238</v>
      </c>
      <c r="B34" s="16"/>
      <c r="C34" s="16">
        <v>0</v>
      </c>
      <c r="D34" s="19">
        <f>D32*D33*12</f>
        <v>10143.680019500003</v>
      </c>
      <c r="E34" s="19">
        <f>E32*E33*12</f>
        <v>11877.605553105028</v>
      </c>
      <c r="F34" s="19">
        <f>F32*F33*12</f>
        <v>13703.462568252649</v>
      </c>
    </row>
    <row r="35" spans="1:6">
      <c r="A35" t="s">
        <v>239</v>
      </c>
      <c r="B35" s="487">
        <f>'Summary Output'!$E$27</f>
        <v>0.10996598639455782</v>
      </c>
      <c r="C35" s="488">
        <f>XNPV(B35,C34:F34,$C$4:$F$4)</f>
        <v>28808.460605203851</v>
      </c>
    </row>
    <row r="37" spans="1:6">
      <c r="A37" s="39" t="s">
        <v>13</v>
      </c>
      <c r="B37" s="39"/>
      <c r="C37" s="39"/>
      <c r="D37" s="16"/>
      <c r="E37" s="16"/>
      <c r="F37" s="16"/>
    </row>
    <row r="38" spans="1:6">
      <c r="A38" s="21" t="s">
        <v>244</v>
      </c>
      <c r="B38" s="21"/>
      <c r="C38" s="21"/>
      <c r="D38" s="304">
        <f>'Power Price Assumption'!C51-4</f>
        <v>1.8379155669285749</v>
      </c>
      <c r="E38" s="304">
        <f>'Power Price Assumption'!D51-4</f>
        <v>2.1116802769589782</v>
      </c>
      <c r="F38" s="304">
        <f>'Power Price Assumption'!E51-4</f>
        <v>2.3982829795226435</v>
      </c>
    </row>
    <row r="39" spans="1:6">
      <c r="A39" s="16" t="s">
        <v>229</v>
      </c>
      <c r="B39" s="16"/>
      <c r="C39" s="16"/>
      <c r="D39" s="19">
        <f>Assumptions!$I$9</f>
        <v>608</v>
      </c>
      <c r="E39" s="19">
        <f>Assumptions!$I$9</f>
        <v>608</v>
      </c>
      <c r="F39" s="19">
        <f>Assumptions!$I$9</f>
        <v>608</v>
      </c>
    </row>
    <row r="40" spans="1:6">
      <c r="A40" s="16" t="s">
        <v>238</v>
      </c>
      <c r="B40" s="16"/>
      <c r="C40" s="16">
        <v>0</v>
      </c>
      <c r="D40" s="19">
        <f>D38*D39*12</f>
        <v>13409.431976310883</v>
      </c>
      <c r="E40" s="19">
        <f>E38*E39*12</f>
        <v>15406.819300692705</v>
      </c>
      <c r="F40" s="19">
        <f>F38*F39*12</f>
        <v>17497.872618597205</v>
      </c>
    </row>
    <row r="41" spans="1:6">
      <c r="A41" t="s">
        <v>239</v>
      </c>
      <c r="B41" s="487">
        <f>'Summary Output'!$E$27</f>
        <v>0.10996598639455782</v>
      </c>
      <c r="C41" s="488">
        <f>XNPV(B41,C40:F40,$C$4:$F$4)</f>
        <v>37392.382463945469</v>
      </c>
    </row>
    <row r="44" spans="1:6">
      <c r="A44" s="39" t="s">
        <v>232</v>
      </c>
      <c r="B44" s="39"/>
      <c r="C44" s="39"/>
      <c r="D44" s="16"/>
      <c r="E44" s="16"/>
      <c r="F44" s="16"/>
    </row>
    <row r="45" spans="1:6">
      <c r="A45" s="16" t="s">
        <v>238</v>
      </c>
      <c r="B45" s="16"/>
      <c r="C45" s="123">
        <f>SUM(C10,C16,C22)</f>
        <v>0</v>
      </c>
      <c r="D45" s="123">
        <f>SUM(D10,D16,D22)</f>
        <v>24120.770432451514</v>
      </c>
      <c r="E45" s="123">
        <f>SUM(E10,E16,E22)</f>
        <v>28399.121393177513</v>
      </c>
      <c r="F45" s="123">
        <f>SUM(F10,F16,F22)</f>
        <v>32889.620285028803</v>
      </c>
    </row>
    <row r="46" spans="1:6">
      <c r="A46" t="s">
        <v>239</v>
      </c>
      <c r="B46" s="487">
        <f>'Summary Output'!$E$27</f>
        <v>0.10996598639455782</v>
      </c>
      <c r="C46" s="488">
        <f>XNPV(B46,C45:F45,$C$4:$F$4)</f>
        <v>68852.361691415223</v>
      </c>
    </row>
    <row r="48" spans="1:6">
      <c r="A48" s="39" t="s">
        <v>233</v>
      </c>
      <c r="B48" s="39"/>
      <c r="C48" s="39"/>
      <c r="D48" s="16"/>
      <c r="E48" s="16"/>
      <c r="F48" s="16"/>
    </row>
    <row r="49" spans="1:6">
      <c r="A49" s="16" t="s">
        <v>238</v>
      </c>
      <c r="B49" s="16"/>
      <c r="C49" s="16">
        <f>SUM(C28,C34,C40)</f>
        <v>0</v>
      </c>
      <c r="D49" s="19">
        <f>SUM(D28,D34,D40)</f>
        <v>33052.411548359363</v>
      </c>
      <c r="E49" s="19">
        <f>SUM(E28,E34,E40)</f>
        <v>38468.634823311651</v>
      </c>
      <c r="F49" s="19">
        <f>SUM(F28,F34,F40)</f>
        <v>44154.004179409458</v>
      </c>
    </row>
    <row r="50" spans="1:6">
      <c r="A50" t="s">
        <v>239</v>
      </c>
      <c r="B50" s="487">
        <f>'Summary Output'!$E$27</f>
        <v>0.10996598639455782</v>
      </c>
      <c r="C50" s="488">
        <f>XNPV(B50,C49:F49,$C$4:$F$4)</f>
        <v>93316.444970787736</v>
      </c>
    </row>
    <row r="52" spans="1:6">
      <c r="A52" s="39" t="s">
        <v>110</v>
      </c>
      <c r="B52" s="39"/>
      <c r="C52" s="39"/>
      <c r="D52" s="16"/>
      <c r="E52" s="16"/>
      <c r="F52" s="16"/>
    </row>
    <row r="53" spans="1:6">
      <c r="A53" s="16" t="s">
        <v>238</v>
      </c>
      <c r="B53" s="16"/>
      <c r="C53" s="16">
        <f>SUM(C40,C34,C28,C22,C16,C10)</f>
        <v>0</v>
      </c>
      <c r="D53" s="19">
        <f>SUM(D40,D34,D28,D22,D16,D10)</f>
        <v>57173.181980810885</v>
      </c>
      <c r="E53" s="19">
        <f>SUM(E40,E34,E28,E22,E16,E10)</f>
        <v>66867.756216489171</v>
      </c>
      <c r="F53" s="19">
        <f>SUM(F40,F34,F28,F22,F16,F10)</f>
        <v>77043.624464438268</v>
      </c>
    </row>
    <row r="54" spans="1:6">
      <c r="A54" t="s">
        <v>239</v>
      </c>
      <c r="B54" s="487">
        <f>'Summary Output'!$E$27</f>
        <v>0.10996598639455782</v>
      </c>
      <c r="C54" s="488">
        <f>XNPV(B54,C53:F53,$C$4:$F$4)</f>
        <v>162168.80666220299</v>
      </c>
    </row>
    <row r="56" spans="1:6">
      <c r="C56" s="490"/>
    </row>
  </sheetData>
  <pageMargins left="0.75" right="0.75" top="1" bottom="1" header="0.5" footer="0.5"/>
  <pageSetup scale="68" orientation="landscape" verticalDpi="0" r:id="rId1"/>
  <headerFooter alignWithMargins="0">
    <oddHeader>&amp;L&amp;12Enron's Generation&amp;RCONFIDENTIAL</oddHeader>
    <oddFooter>&amp;L&amp;D&amp;C&amp;F&amp;RPage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2:I25"/>
  <sheetViews>
    <sheetView zoomScale="75" zoomScaleNormal="75" workbookViewId="0"/>
  </sheetViews>
  <sheetFormatPr defaultRowHeight="12.75"/>
  <cols>
    <col min="1" max="1" width="21.28515625" style="16" bestFit="1" customWidth="1"/>
    <col min="2" max="2" width="4" style="16" customWidth="1"/>
    <col min="3" max="3" width="17.28515625" style="16" bestFit="1" customWidth="1"/>
    <col min="4" max="4" width="3.5703125" style="16" customWidth="1"/>
    <col min="5" max="5" width="13.7109375" style="16" bestFit="1" customWidth="1"/>
    <col min="6" max="16384" width="9.140625" style="16"/>
  </cols>
  <sheetData>
    <row r="2" spans="1:9" ht="18.75">
      <c r="A2" s="412" t="s">
        <v>89</v>
      </c>
    </row>
    <row r="3" spans="1:9" ht="15.75">
      <c r="A3" s="261"/>
    </row>
    <row r="4" spans="1:9">
      <c r="A4" s="374" t="s">
        <v>90</v>
      </c>
      <c r="B4" s="50"/>
      <c r="C4" s="374" t="s">
        <v>159</v>
      </c>
      <c r="D4" s="50"/>
      <c r="E4" s="374" t="s">
        <v>162</v>
      </c>
    </row>
    <row r="7" spans="1:9">
      <c r="A7" s="15" t="s">
        <v>9</v>
      </c>
      <c r="C7" s="410">
        <v>0.125039438479223</v>
      </c>
      <c r="E7" s="410">
        <v>0.15440554197847384</v>
      </c>
      <c r="G7" s="526"/>
      <c r="H7" s="526"/>
      <c r="I7" s="527"/>
    </row>
    <row r="8" spans="1:9">
      <c r="A8" s="15" t="s">
        <v>10</v>
      </c>
      <c r="C8" s="410">
        <v>0.1511835224699338</v>
      </c>
      <c r="E8" s="410">
        <v>0.1558587124333399</v>
      </c>
      <c r="G8" s="526"/>
      <c r="H8" s="526"/>
      <c r="I8" s="527"/>
    </row>
    <row r="9" spans="1:9">
      <c r="A9" s="39" t="s">
        <v>11</v>
      </c>
      <c r="C9" s="411">
        <v>0.14539217477626698</v>
      </c>
      <c r="E9" s="411">
        <v>0.1197550000844939</v>
      </c>
      <c r="G9" s="526"/>
      <c r="H9" s="526"/>
      <c r="I9" s="527"/>
    </row>
    <row r="10" spans="1:9">
      <c r="A10" s="15" t="s">
        <v>91</v>
      </c>
      <c r="C10" s="410">
        <f>SUM(C7:C9)</f>
        <v>0.42161513572542375</v>
      </c>
      <c r="E10" s="410">
        <f>SUM(E7:E9)</f>
        <v>0.43001925449630762</v>
      </c>
      <c r="G10" s="526"/>
      <c r="H10" s="526"/>
      <c r="I10" s="527"/>
    </row>
    <row r="11" spans="1:9">
      <c r="A11" s="39"/>
      <c r="C11" s="410"/>
      <c r="E11" s="410"/>
      <c r="G11" s="526"/>
      <c r="H11" s="526"/>
      <c r="I11" s="527"/>
    </row>
    <row r="12" spans="1:9">
      <c r="A12" s="15" t="s">
        <v>103</v>
      </c>
      <c r="C12" s="410">
        <v>0.17074206551655802</v>
      </c>
      <c r="E12" s="410">
        <v>0.17504968982648278</v>
      </c>
      <c r="G12" s="526"/>
      <c r="H12" s="526"/>
      <c r="I12" s="527"/>
    </row>
    <row r="13" spans="1:9">
      <c r="A13" s="15" t="s">
        <v>12</v>
      </c>
      <c r="C13" s="410">
        <v>0.1561848046993598</v>
      </c>
      <c r="E13" s="410">
        <v>0.17174199460296</v>
      </c>
    </row>
    <row r="14" spans="1:9">
      <c r="A14" s="39" t="s">
        <v>13</v>
      </c>
      <c r="C14" s="411">
        <v>0.25145799405865837</v>
      </c>
      <c r="E14" s="411">
        <v>0.22318906107424963</v>
      </c>
    </row>
    <row r="15" spans="1:9">
      <c r="A15" s="15" t="s">
        <v>91</v>
      </c>
      <c r="C15" s="410">
        <f>SUM(C12:C14)</f>
        <v>0.57838486427457614</v>
      </c>
      <c r="E15" s="410">
        <f>SUM(E12:E14)</f>
        <v>0.56998074550369238</v>
      </c>
    </row>
    <row r="16" spans="1:9">
      <c r="A16" s="39"/>
      <c r="C16" s="407"/>
      <c r="E16" s="407"/>
    </row>
    <row r="17" spans="1:5" ht="13.5" thickBot="1">
      <c r="A17" s="476" t="s">
        <v>20</v>
      </c>
      <c r="B17" s="406"/>
      <c r="C17" s="409">
        <f>SUM(C10,C15)</f>
        <v>0.99999999999999989</v>
      </c>
      <c r="D17" s="406"/>
      <c r="E17" s="409">
        <f>E15+E10</f>
        <v>1</v>
      </c>
    </row>
    <row r="18" spans="1:5" ht="13.5" thickTop="1">
      <c r="B18" s="6"/>
    </row>
    <row r="19" spans="1:5">
      <c r="B19" s="6"/>
      <c r="C19" s="6"/>
      <c r="D19" s="6"/>
    </row>
    <row r="20" spans="1:5">
      <c r="B20" s="375"/>
      <c r="C20" s="376"/>
    </row>
    <row r="25" spans="1:5">
      <c r="A25" s="39"/>
    </row>
  </sheetData>
  <pageMargins left="0.75" right="0.75" top="1" bottom="1" header="0.5" footer="0.5"/>
  <pageSetup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AG69"/>
  <sheetViews>
    <sheetView tabSelected="1" zoomScale="75" zoomScaleNormal="75" workbookViewId="0">
      <selection activeCell="G25" sqref="G25"/>
    </sheetView>
  </sheetViews>
  <sheetFormatPr defaultRowHeight="12.75"/>
  <cols>
    <col min="1" max="1" width="66.28515625" customWidth="1"/>
    <col min="3" max="5" width="13.7109375" customWidth="1"/>
    <col min="6" max="6" width="5.140625" customWidth="1"/>
    <col min="7" max="9" width="13.7109375" customWidth="1"/>
    <col min="10" max="10" width="4.5703125" customWidth="1"/>
    <col min="11" max="11" width="13.7109375" customWidth="1"/>
    <col min="12" max="12" width="4.7109375" customWidth="1"/>
    <col min="16" max="16" width="23" bestFit="1" customWidth="1"/>
  </cols>
  <sheetData>
    <row r="2" spans="1:33" ht="18.75">
      <c r="A2" s="412" t="s">
        <v>163</v>
      </c>
    </row>
    <row r="4" spans="1:33" ht="13.5" thickBot="1"/>
    <row r="5" spans="1:33" ht="15.75">
      <c r="A5" s="164" t="s">
        <v>2</v>
      </c>
      <c r="B5" s="185"/>
      <c r="C5" s="533" t="s">
        <v>3</v>
      </c>
      <c r="D5" s="533"/>
      <c r="E5" s="533"/>
      <c r="F5" s="27"/>
      <c r="G5" s="533" t="s">
        <v>4</v>
      </c>
      <c r="H5" s="533"/>
      <c r="I5" s="533"/>
      <c r="J5" s="186"/>
      <c r="K5" s="415"/>
      <c r="L5" s="145"/>
      <c r="M5" s="382"/>
      <c r="N5" s="382"/>
      <c r="O5" s="382"/>
      <c r="P5" s="382"/>
      <c r="Q5" s="382"/>
      <c r="R5" s="382"/>
      <c r="S5" s="382"/>
      <c r="T5" s="382"/>
      <c r="U5" s="382"/>
      <c r="V5" s="382"/>
      <c r="W5" s="382"/>
      <c r="X5" s="382"/>
      <c r="Y5" s="382"/>
      <c r="Z5" s="382"/>
      <c r="AA5" s="382"/>
      <c r="AB5" s="382"/>
      <c r="AC5" s="382"/>
      <c r="AD5" s="382"/>
      <c r="AE5" s="382"/>
      <c r="AF5" s="382"/>
      <c r="AG5" s="382"/>
    </row>
    <row r="6" spans="1:33" ht="15.75">
      <c r="A6" s="173"/>
      <c r="B6" s="169"/>
      <c r="C6" s="169"/>
      <c r="D6" s="169"/>
      <c r="E6" s="169"/>
      <c r="F6" s="17"/>
      <c r="G6" s="169"/>
      <c r="H6" s="169"/>
      <c r="I6" s="169"/>
      <c r="J6" s="125"/>
      <c r="K6" s="174"/>
      <c r="L6" s="145"/>
      <c r="M6" s="382"/>
      <c r="N6" s="382"/>
      <c r="O6" s="382"/>
      <c r="P6" s="382"/>
      <c r="Q6" s="382"/>
      <c r="R6" s="382"/>
      <c r="S6" s="382"/>
      <c r="T6" s="382"/>
      <c r="U6" s="382"/>
      <c r="V6" s="382"/>
      <c r="W6" s="382"/>
      <c r="X6" s="382"/>
      <c r="Y6" s="382"/>
      <c r="Z6" s="382"/>
      <c r="AA6" s="382"/>
      <c r="AB6" s="382"/>
      <c r="AC6" s="382"/>
      <c r="AD6" s="382"/>
      <c r="AE6" s="382"/>
      <c r="AF6" s="382"/>
      <c r="AG6" s="382"/>
    </row>
    <row r="7" spans="1:33" ht="15.75">
      <c r="A7" s="173"/>
      <c r="B7" s="169"/>
      <c r="C7" s="192" t="s">
        <v>9</v>
      </c>
      <c r="D7" s="192" t="s">
        <v>10</v>
      </c>
      <c r="E7" s="192" t="s">
        <v>11</v>
      </c>
      <c r="F7" s="17"/>
      <c r="G7" s="192" t="s">
        <v>103</v>
      </c>
      <c r="H7" s="192" t="s">
        <v>12</v>
      </c>
      <c r="I7" s="192" t="s">
        <v>13</v>
      </c>
      <c r="J7" s="72"/>
      <c r="K7" s="193" t="s">
        <v>166</v>
      </c>
      <c r="L7" s="145"/>
      <c r="M7" s="382"/>
      <c r="N7" s="382"/>
      <c r="O7" s="382"/>
      <c r="P7" s="382"/>
      <c r="Q7" s="382"/>
      <c r="R7" s="382"/>
      <c r="S7" s="382"/>
      <c r="T7" s="382"/>
      <c r="U7" s="382"/>
      <c r="V7" s="382"/>
      <c r="W7" s="382"/>
      <c r="X7" s="382"/>
      <c r="Y7" s="382"/>
      <c r="Z7" s="382"/>
      <c r="AA7" s="382"/>
      <c r="AB7" s="382"/>
      <c r="AC7" s="382"/>
      <c r="AD7" s="382"/>
      <c r="AE7" s="382"/>
      <c r="AF7" s="382"/>
      <c r="AG7" s="382"/>
    </row>
    <row r="8" spans="1:33" ht="15.75">
      <c r="A8" s="173" t="s">
        <v>16</v>
      </c>
      <c r="B8" s="169"/>
      <c r="C8" s="290">
        <v>4</v>
      </c>
      <c r="D8" s="290">
        <v>6</v>
      </c>
      <c r="E8" s="290">
        <v>6</v>
      </c>
      <c r="F8" s="359"/>
      <c r="G8" s="290">
        <v>3</v>
      </c>
      <c r="H8" s="290">
        <v>4</v>
      </c>
      <c r="I8" s="290">
        <v>8</v>
      </c>
      <c r="J8" s="254"/>
      <c r="K8" s="448">
        <f>SUM(C8:I8)</f>
        <v>31</v>
      </c>
      <c r="L8" s="145"/>
      <c r="M8" s="382"/>
      <c r="N8" s="382"/>
      <c r="O8" s="382"/>
      <c r="P8" s="382"/>
      <c r="Q8" s="382"/>
      <c r="R8" s="382"/>
      <c r="S8" s="382"/>
      <c r="T8" s="382"/>
      <c r="U8" s="382"/>
      <c r="V8" s="382"/>
      <c r="W8" s="382"/>
      <c r="X8" s="382"/>
      <c r="Y8" s="382"/>
      <c r="Z8" s="382"/>
      <c r="AA8" s="382"/>
      <c r="AB8" s="382"/>
      <c r="AC8" s="382"/>
      <c r="AD8" s="382"/>
      <c r="AE8" s="382"/>
      <c r="AF8" s="382"/>
      <c r="AG8" s="382"/>
    </row>
    <row r="9" spans="1:33" ht="15.75">
      <c r="A9" s="173" t="s">
        <v>207</v>
      </c>
      <c r="B9" s="169"/>
      <c r="C9" s="290">
        <v>458</v>
      </c>
      <c r="D9" s="290">
        <v>466</v>
      </c>
      <c r="E9" s="290">
        <v>371</v>
      </c>
      <c r="F9" s="352"/>
      <c r="G9" s="290">
        <v>510</v>
      </c>
      <c r="H9" s="290">
        <v>470</v>
      </c>
      <c r="I9" s="290">
        <v>608</v>
      </c>
      <c r="J9" s="297"/>
      <c r="K9" s="448">
        <f>SUM(C9:I9)</f>
        <v>2883</v>
      </c>
      <c r="L9" s="145"/>
      <c r="M9" s="382"/>
      <c r="N9" s="382"/>
      <c r="O9" s="382"/>
      <c r="P9" s="382"/>
      <c r="Q9" s="382"/>
      <c r="R9" s="382"/>
      <c r="S9" s="382"/>
      <c r="T9" s="382"/>
      <c r="U9" s="382"/>
      <c r="V9" s="382"/>
      <c r="W9" s="382"/>
      <c r="X9" s="382"/>
      <c r="Y9" s="382"/>
      <c r="Z9" s="382"/>
      <c r="AA9" s="382"/>
      <c r="AB9" s="382"/>
      <c r="AC9" s="382"/>
      <c r="AD9" s="382"/>
      <c r="AE9" s="382"/>
      <c r="AF9" s="382"/>
      <c r="AG9" s="382"/>
    </row>
    <row r="10" spans="1:33" ht="15.75">
      <c r="A10" s="173" t="s">
        <v>246</v>
      </c>
      <c r="B10" s="169"/>
      <c r="C10" s="290">
        <v>11406</v>
      </c>
      <c r="D10" s="290">
        <v>12300</v>
      </c>
      <c r="E10" s="290">
        <v>12500</v>
      </c>
      <c r="F10" s="351"/>
      <c r="G10" s="290">
        <v>10800</v>
      </c>
      <c r="H10" s="290">
        <v>11734</v>
      </c>
      <c r="I10" s="290">
        <v>11973</v>
      </c>
      <c r="J10" s="254"/>
      <c r="K10" s="448">
        <f>SUMPRODUCT(C10:I10,C9:I9)/K9</f>
        <v>11757.132154006244</v>
      </c>
      <c r="L10" s="145"/>
      <c r="M10" s="382"/>
      <c r="N10" s="382"/>
      <c r="O10" s="382"/>
      <c r="P10" s="382"/>
      <c r="Q10" s="382"/>
      <c r="R10" s="382"/>
      <c r="S10" s="382"/>
      <c r="T10" s="382"/>
      <c r="U10" s="382"/>
      <c r="V10" s="382"/>
      <c r="W10" s="382"/>
      <c r="X10" s="382"/>
      <c r="Y10" s="382"/>
      <c r="Z10" s="382"/>
      <c r="AA10" s="382"/>
      <c r="AB10" s="382"/>
      <c r="AC10" s="382"/>
      <c r="AD10" s="382"/>
      <c r="AE10" s="382"/>
      <c r="AF10" s="382"/>
      <c r="AG10" s="382"/>
    </row>
    <row r="11" spans="1:33" ht="16.5" thickBot="1">
      <c r="A11" s="175" t="s">
        <v>154</v>
      </c>
      <c r="B11" s="499"/>
      <c r="C11" s="498">
        <v>75</v>
      </c>
      <c r="D11" s="498">
        <v>75</v>
      </c>
      <c r="E11" s="498">
        <v>75</v>
      </c>
      <c r="F11" s="521"/>
      <c r="G11" s="498">
        <v>75</v>
      </c>
      <c r="H11" s="498">
        <v>75</v>
      </c>
      <c r="I11" s="498">
        <v>75</v>
      </c>
      <c r="J11" s="499"/>
      <c r="K11" s="472">
        <f>SUM(C11:I11)</f>
        <v>450</v>
      </c>
      <c r="L11" s="17"/>
      <c r="M11" s="382"/>
      <c r="N11" s="382"/>
      <c r="O11" s="382"/>
      <c r="P11" s="382"/>
      <c r="Q11" s="382"/>
      <c r="R11" s="382"/>
      <c r="S11" s="382"/>
      <c r="T11" s="382"/>
      <c r="U11" s="382"/>
      <c r="V11" s="382"/>
      <c r="W11" s="382"/>
      <c r="X11" s="382"/>
      <c r="Y11" s="382"/>
      <c r="Z11" s="382"/>
      <c r="AA11" s="382"/>
      <c r="AB11" s="382"/>
      <c r="AC11" s="382"/>
      <c r="AD11" s="382"/>
      <c r="AE11" s="382"/>
      <c r="AF11" s="382"/>
      <c r="AG11" s="382"/>
    </row>
    <row r="12" spans="1:33">
      <c r="L12" s="145"/>
      <c r="M12" s="382"/>
      <c r="N12" s="382"/>
      <c r="O12" s="382"/>
      <c r="P12" s="382"/>
      <c r="Q12" s="382"/>
      <c r="R12" s="382"/>
      <c r="S12" s="382"/>
      <c r="T12" s="382"/>
      <c r="U12" s="382"/>
      <c r="V12" s="382"/>
      <c r="W12" s="382"/>
      <c r="X12" s="382"/>
      <c r="Y12" s="382"/>
      <c r="Z12" s="382"/>
      <c r="AA12" s="382"/>
      <c r="AB12" s="382"/>
      <c r="AC12" s="382"/>
      <c r="AD12" s="382"/>
      <c r="AE12" s="382"/>
      <c r="AF12" s="382"/>
      <c r="AG12" s="382"/>
    </row>
    <row r="13" spans="1:33" ht="13.5" thickBo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45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382"/>
      <c r="X13" s="382"/>
      <c r="Y13" s="382"/>
      <c r="Z13" s="382"/>
      <c r="AA13" s="382"/>
      <c r="AB13" s="382"/>
      <c r="AC13" s="382"/>
      <c r="AD13" s="382"/>
      <c r="AE13" s="382"/>
      <c r="AF13" s="382"/>
      <c r="AG13" s="382"/>
    </row>
    <row r="14" spans="1:33" ht="15.75">
      <c r="A14" s="164" t="s">
        <v>257</v>
      </c>
      <c r="B14" s="185"/>
      <c r="C14" s="190"/>
      <c r="D14" s="190"/>
      <c r="E14" s="190"/>
      <c r="F14" s="27"/>
      <c r="G14" s="190"/>
      <c r="H14" s="190"/>
      <c r="I14" s="190"/>
      <c r="J14" s="185"/>
      <c r="K14" s="449"/>
      <c r="L14" s="145"/>
      <c r="M14" s="382"/>
      <c r="N14" s="382"/>
      <c r="O14" s="382"/>
      <c r="P14" s="382"/>
      <c r="Q14" s="382"/>
      <c r="R14" s="382"/>
      <c r="S14" s="382"/>
      <c r="T14" s="382"/>
      <c r="U14" s="382"/>
      <c r="V14" s="382"/>
      <c r="W14" s="382"/>
      <c r="X14" s="382"/>
      <c r="Y14" s="382"/>
      <c r="Z14" s="382"/>
      <c r="AA14" s="382"/>
      <c r="AB14" s="382"/>
      <c r="AC14" s="382"/>
      <c r="AD14" s="382"/>
      <c r="AE14" s="382"/>
      <c r="AF14" s="382"/>
      <c r="AG14" s="382"/>
    </row>
    <row r="15" spans="1:33">
      <c r="A15" s="30"/>
      <c r="B15" s="17"/>
      <c r="C15" s="17"/>
      <c r="D15" s="17"/>
      <c r="E15" s="17"/>
      <c r="F15" s="17"/>
      <c r="G15" s="17"/>
      <c r="H15" s="17"/>
      <c r="I15" s="17"/>
      <c r="J15" s="7"/>
      <c r="K15" s="450"/>
      <c r="L15" s="17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2"/>
      <c r="AC15" s="382"/>
      <c r="AD15" s="382"/>
      <c r="AE15" s="382"/>
      <c r="AF15" s="382"/>
      <c r="AG15" s="382"/>
    </row>
    <row r="16" spans="1:33" ht="15.75">
      <c r="A16" s="173" t="s">
        <v>258</v>
      </c>
      <c r="B16" s="169"/>
      <c r="C16" s="354">
        <v>4</v>
      </c>
      <c r="D16" s="367">
        <f>$C$16</f>
        <v>4</v>
      </c>
      <c r="E16" s="367">
        <f>$C$16</f>
        <v>4</v>
      </c>
      <c r="F16" s="368"/>
      <c r="G16" s="367">
        <f>$C$16</f>
        <v>4</v>
      </c>
      <c r="H16" s="367">
        <f>$C$16</f>
        <v>4</v>
      </c>
      <c r="I16" s="367">
        <f>$C$16</f>
        <v>4</v>
      </c>
      <c r="J16" s="358"/>
      <c r="K16" s="451"/>
      <c r="L16" s="17"/>
      <c r="M16" s="382"/>
      <c r="N16" s="382"/>
      <c r="O16" s="382"/>
      <c r="P16" s="382"/>
      <c r="Q16" s="382"/>
      <c r="R16" s="382"/>
      <c r="S16" s="382"/>
      <c r="T16" s="382"/>
      <c r="U16" s="382"/>
      <c r="V16" s="382"/>
      <c r="W16" s="382"/>
      <c r="X16" s="382"/>
      <c r="Y16" s="382"/>
      <c r="Z16" s="382"/>
      <c r="AA16" s="382"/>
      <c r="AB16" s="382"/>
      <c r="AC16" s="382"/>
      <c r="AD16" s="382"/>
      <c r="AE16" s="382"/>
      <c r="AF16" s="382"/>
      <c r="AG16" s="382"/>
    </row>
    <row r="17" spans="1:33" ht="15.75">
      <c r="A17" s="173" t="s">
        <v>205</v>
      </c>
      <c r="B17" s="17"/>
      <c r="C17" s="467">
        <f t="shared" ref="C17:E18" si="0">C23</f>
        <v>1.5</v>
      </c>
      <c r="D17" s="467">
        <f t="shared" si="0"/>
        <v>1</v>
      </c>
      <c r="E17" s="467">
        <f t="shared" si="0"/>
        <v>1</v>
      </c>
      <c r="F17" s="458"/>
      <c r="G17" s="467">
        <f t="shared" ref="G17:I18" si="1">G23</f>
        <v>1.5</v>
      </c>
      <c r="H17" s="467">
        <f t="shared" si="1"/>
        <v>3</v>
      </c>
      <c r="I17" s="467">
        <f t="shared" si="1"/>
        <v>2</v>
      </c>
      <c r="J17" s="17"/>
      <c r="K17" s="29"/>
      <c r="L17" s="17"/>
      <c r="M17" s="382"/>
      <c r="N17" s="382"/>
      <c r="O17" s="382"/>
      <c r="P17" s="382"/>
      <c r="Q17" s="382"/>
      <c r="R17" s="382"/>
      <c r="S17" s="382"/>
      <c r="T17" s="382"/>
      <c r="U17" s="382"/>
      <c r="V17" s="382"/>
      <c r="W17" s="382"/>
      <c r="X17" s="382"/>
      <c r="Y17" s="382"/>
      <c r="Z17" s="382"/>
      <c r="AA17" s="382"/>
      <c r="AB17" s="382"/>
      <c r="AC17" s="382"/>
      <c r="AD17" s="382"/>
      <c r="AE17" s="382"/>
      <c r="AF17" s="382"/>
      <c r="AG17" s="382"/>
    </row>
    <row r="18" spans="1:33" ht="15.75">
      <c r="A18" s="173" t="s">
        <v>250</v>
      </c>
      <c r="B18" s="382"/>
      <c r="C18" s="254">
        <f t="shared" si="0"/>
        <v>1500</v>
      </c>
      <c r="D18" s="254">
        <f t="shared" si="0"/>
        <v>1000</v>
      </c>
      <c r="E18" s="254">
        <f t="shared" si="0"/>
        <v>1000</v>
      </c>
      <c r="F18" s="468"/>
      <c r="G18" s="254">
        <f t="shared" si="1"/>
        <v>3000</v>
      </c>
      <c r="H18" s="254">
        <f t="shared" si="1"/>
        <v>1500</v>
      </c>
      <c r="I18" s="254">
        <f t="shared" si="1"/>
        <v>1000</v>
      </c>
      <c r="J18" s="382"/>
      <c r="K18" s="448"/>
      <c r="L18" s="413"/>
      <c r="M18" s="382"/>
      <c r="N18" s="382"/>
      <c r="O18" s="382"/>
      <c r="P18" s="233"/>
      <c r="Q18" s="382"/>
      <c r="R18" s="382"/>
      <c r="S18" s="382"/>
      <c r="T18" s="382"/>
      <c r="U18" s="382"/>
      <c r="V18" s="382"/>
      <c r="W18" s="382"/>
      <c r="X18" s="382"/>
      <c r="Y18" s="382"/>
      <c r="Z18" s="382"/>
      <c r="AA18" s="382"/>
      <c r="AB18" s="382"/>
      <c r="AC18" s="382"/>
      <c r="AD18" s="382"/>
      <c r="AE18" s="382"/>
      <c r="AF18" s="382"/>
      <c r="AG18" s="382"/>
    </row>
    <row r="19" spans="1:33" ht="16.5" thickBot="1">
      <c r="A19" s="175" t="s">
        <v>153</v>
      </c>
      <c r="B19" s="499"/>
      <c r="C19" s="520">
        <v>624921.70787304931</v>
      </c>
      <c r="D19" s="520">
        <v>544139.6717506632</v>
      </c>
      <c r="E19" s="520">
        <v>410269.84</v>
      </c>
      <c r="F19" s="500"/>
      <c r="G19" s="520">
        <v>532991.61978558963</v>
      </c>
      <c r="H19" s="520">
        <v>461312.72185621865</v>
      </c>
      <c r="I19" s="520">
        <v>2002000</v>
      </c>
      <c r="J19" s="31"/>
      <c r="K19" s="501"/>
      <c r="L19" s="145"/>
      <c r="M19" s="382"/>
      <c r="N19" s="382"/>
      <c r="O19" s="382"/>
      <c r="P19" s="351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2"/>
      <c r="AG19" s="382"/>
    </row>
    <row r="20" spans="1:33" ht="15.75">
      <c r="A20" s="382"/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7"/>
      <c r="M20" s="382"/>
      <c r="N20" s="382"/>
      <c r="O20" s="382"/>
      <c r="P20" s="351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82"/>
      <c r="AB20" s="382"/>
      <c r="AC20" s="382"/>
      <c r="AD20" s="382"/>
      <c r="AE20" s="382"/>
      <c r="AF20" s="382"/>
      <c r="AG20" s="382"/>
    </row>
    <row r="21" spans="1:33" ht="16.5" thickBot="1">
      <c r="L21" s="7"/>
      <c r="M21" s="382"/>
      <c r="N21" s="382"/>
      <c r="O21" s="382"/>
      <c r="P21" s="351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82"/>
      <c r="AB21" s="382"/>
      <c r="AC21" s="382"/>
      <c r="AD21" s="382"/>
      <c r="AE21" s="382"/>
      <c r="AF21" s="382"/>
      <c r="AG21" s="382"/>
    </row>
    <row r="22" spans="1:33" ht="15.75">
      <c r="A22" s="165" t="s">
        <v>42</v>
      </c>
      <c r="B22" s="190"/>
      <c r="C22" s="366"/>
      <c r="D22" s="366"/>
      <c r="E22" s="366"/>
      <c r="F22" s="361"/>
      <c r="G22" s="366"/>
      <c r="H22" s="366"/>
      <c r="I22" s="360"/>
      <c r="J22" s="453"/>
      <c r="K22" s="454"/>
      <c r="L22" s="7"/>
      <c r="M22" s="382"/>
      <c r="N22" s="382"/>
      <c r="O22" s="382"/>
      <c r="P22" s="351"/>
      <c r="Q22" s="382"/>
      <c r="R22" s="382"/>
      <c r="S22" s="382"/>
      <c r="T22" s="382"/>
      <c r="U22" s="382"/>
      <c r="V22" s="382"/>
      <c r="W22" s="382"/>
      <c r="X22" s="382"/>
      <c r="Y22" s="382"/>
      <c r="Z22" s="382"/>
      <c r="AA22" s="382"/>
      <c r="AB22" s="382"/>
      <c r="AC22" s="382"/>
      <c r="AD22" s="382"/>
      <c r="AE22" s="382"/>
      <c r="AF22" s="382"/>
      <c r="AG22" s="382"/>
    </row>
    <row r="23" spans="1:33" ht="15.75">
      <c r="A23" s="286" t="s">
        <v>278</v>
      </c>
      <c r="B23" s="169"/>
      <c r="C23" s="379">
        <v>1.5</v>
      </c>
      <c r="D23" s="379">
        <v>1</v>
      </c>
      <c r="E23" s="379">
        <v>1</v>
      </c>
      <c r="F23" s="458"/>
      <c r="G23" s="379">
        <v>1.5</v>
      </c>
      <c r="H23" s="379">
        <v>3</v>
      </c>
      <c r="I23" s="379">
        <v>2</v>
      </c>
      <c r="J23" s="355"/>
      <c r="K23" s="452"/>
      <c r="L23" s="7"/>
      <c r="M23" s="382"/>
      <c r="N23" s="382"/>
      <c r="O23" s="382"/>
      <c r="P23" s="414"/>
      <c r="Q23" s="382"/>
      <c r="R23" s="382"/>
      <c r="S23" s="382"/>
      <c r="T23" s="382"/>
      <c r="U23" s="382"/>
      <c r="V23" s="382"/>
      <c r="W23" s="382"/>
      <c r="X23" s="382"/>
      <c r="Y23" s="382"/>
      <c r="Z23" s="382"/>
      <c r="AA23" s="382"/>
      <c r="AB23" s="382"/>
      <c r="AC23" s="382"/>
      <c r="AD23" s="382"/>
      <c r="AE23" s="382"/>
      <c r="AF23" s="382"/>
      <c r="AG23" s="382"/>
    </row>
    <row r="24" spans="1:33" ht="15.75">
      <c r="A24" s="173" t="s">
        <v>254</v>
      </c>
      <c r="B24" s="382"/>
      <c r="C24" s="290">
        <v>1500</v>
      </c>
      <c r="D24" s="290">
        <v>1000</v>
      </c>
      <c r="E24" s="290">
        <v>1000</v>
      </c>
      <c r="F24" s="382"/>
      <c r="G24" s="290">
        <v>3000</v>
      </c>
      <c r="H24" s="290">
        <v>1500</v>
      </c>
      <c r="I24" s="290">
        <v>1000</v>
      </c>
      <c r="J24" s="356"/>
      <c r="K24" s="357"/>
      <c r="L24" s="7"/>
      <c r="M24" s="382"/>
      <c r="N24" s="382"/>
      <c r="O24" s="382"/>
      <c r="P24" s="382"/>
      <c r="Q24" s="382"/>
      <c r="R24" s="382"/>
      <c r="S24" s="382"/>
      <c r="T24" s="382"/>
      <c r="U24" s="382"/>
      <c r="V24" s="382"/>
      <c r="W24" s="382"/>
      <c r="X24" s="382"/>
      <c r="Y24" s="382"/>
      <c r="Z24" s="382"/>
      <c r="AA24" s="382"/>
      <c r="AB24" s="382"/>
      <c r="AC24" s="382"/>
      <c r="AD24" s="382"/>
      <c r="AE24" s="382"/>
      <c r="AF24" s="382"/>
      <c r="AG24" s="382"/>
    </row>
    <row r="25" spans="1:33" ht="15.75">
      <c r="A25" s="173" t="s">
        <v>114</v>
      </c>
      <c r="B25" s="169"/>
      <c r="C25" s="287">
        <v>0.03</v>
      </c>
      <c r="D25" s="356">
        <f>$C$25</f>
        <v>0.03</v>
      </c>
      <c r="E25" s="356">
        <f>$C$25</f>
        <v>0.03</v>
      </c>
      <c r="F25" s="370"/>
      <c r="G25" s="356">
        <f>$C$25</f>
        <v>0.03</v>
      </c>
      <c r="H25" s="356">
        <f>$C$25</f>
        <v>0.03</v>
      </c>
      <c r="I25" s="356">
        <f>$C$25</f>
        <v>0.03</v>
      </c>
      <c r="J25" s="255"/>
      <c r="K25" s="293"/>
      <c r="L25" s="145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82"/>
      <c r="AB25" s="382"/>
      <c r="AC25" s="382"/>
      <c r="AD25" s="382"/>
      <c r="AE25" s="382"/>
      <c r="AF25" s="382"/>
      <c r="AG25" s="382"/>
    </row>
    <row r="26" spans="1:33" ht="15.75">
      <c r="A26" s="173"/>
      <c r="B26" s="169"/>
      <c r="C26" s="245"/>
      <c r="D26" s="245"/>
      <c r="E26" s="245"/>
      <c r="F26" s="245"/>
      <c r="G26" s="245"/>
      <c r="H26" s="245"/>
      <c r="I26" s="245"/>
      <c r="J26" s="378"/>
      <c r="K26" s="455"/>
      <c r="L26" s="7"/>
      <c r="M26" s="382"/>
      <c r="N26" s="382"/>
      <c r="O26" s="382"/>
      <c r="P26" s="382"/>
      <c r="Q26" s="382"/>
      <c r="R26" s="382"/>
      <c r="S26" s="382"/>
      <c r="T26" s="382"/>
      <c r="U26" s="382"/>
      <c r="V26" s="382"/>
      <c r="W26" s="382"/>
      <c r="X26" s="382"/>
      <c r="Y26" s="382"/>
      <c r="Z26" s="382"/>
      <c r="AA26" s="382"/>
      <c r="AB26" s="382"/>
      <c r="AC26" s="382"/>
      <c r="AD26" s="382"/>
      <c r="AE26" s="382"/>
      <c r="AF26" s="382"/>
      <c r="AG26" s="382"/>
    </row>
    <row r="27" spans="1:33" ht="15.75">
      <c r="A27" s="298" t="s">
        <v>113</v>
      </c>
      <c r="B27" s="169"/>
      <c r="C27" s="497"/>
      <c r="D27" s="497"/>
      <c r="E27" s="497"/>
      <c r="F27" s="245"/>
      <c r="G27" s="497"/>
      <c r="H27" s="497"/>
      <c r="I27" s="497"/>
      <c r="J27" s="378"/>
      <c r="K27" s="455"/>
      <c r="L27" s="7"/>
      <c r="M27" s="382"/>
      <c r="N27" s="382"/>
      <c r="O27" s="382"/>
      <c r="P27" s="382"/>
      <c r="Q27" s="382"/>
      <c r="R27" s="382"/>
      <c r="S27" s="382"/>
      <c r="T27" s="382"/>
      <c r="U27" s="382"/>
      <c r="V27" s="382"/>
      <c r="W27" s="382"/>
      <c r="X27" s="382"/>
      <c r="Y27" s="382"/>
      <c r="Z27" s="382"/>
      <c r="AA27" s="382"/>
      <c r="AB27" s="382"/>
      <c r="AC27" s="382"/>
      <c r="AD27" s="382"/>
      <c r="AE27" s="382"/>
      <c r="AF27" s="382"/>
      <c r="AG27" s="382"/>
    </row>
    <row r="28" spans="1:33" ht="15.75">
      <c r="A28" s="173" t="s">
        <v>48</v>
      </c>
      <c r="B28" s="17"/>
      <c r="C28" s="377">
        <v>1563.6314700000003</v>
      </c>
      <c r="D28" s="377">
        <v>1721.30196</v>
      </c>
      <c r="E28" s="377">
        <v>1878.0665900000001</v>
      </c>
      <c r="F28" s="297"/>
      <c r="G28" s="377">
        <v>1242.4817142857141</v>
      </c>
      <c r="H28" s="377">
        <v>1515.7902857142858</v>
      </c>
      <c r="I28" s="377">
        <v>1448.5405714285714</v>
      </c>
      <c r="J28" s="378"/>
      <c r="K28" s="455"/>
      <c r="L28" s="7"/>
      <c r="M28" s="382"/>
      <c r="N28" s="382"/>
      <c r="O28" s="382"/>
      <c r="P28" s="382"/>
      <c r="Q28" s="382"/>
      <c r="R28" s="382"/>
      <c r="S28" s="382"/>
      <c r="T28" s="382"/>
      <c r="U28" s="382"/>
      <c r="V28" s="382"/>
      <c r="W28" s="382"/>
      <c r="X28" s="382"/>
      <c r="Y28" s="382"/>
      <c r="Z28" s="382"/>
      <c r="AA28" s="382"/>
      <c r="AB28" s="382"/>
      <c r="AC28" s="382"/>
      <c r="AD28" s="382"/>
      <c r="AE28" s="382"/>
      <c r="AF28" s="382"/>
      <c r="AG28" s="382"/>
    </row>
    <row r="29" spans="1:33" ht="15.75">
      <c r="A29" s="173" t="s">
        <v>49</v>
      </c>
      <c r="B29" s="17"/>
      <c r="C29" s="296">
        <f>C23*C19/1000</f>
        <v>937.38256180957399</v>
      </c>
      <c r="D29" s="296">
        <f>D23*D19/1000</f>
        <v>544.13967175066318</v>
      </c>
      <c r="E29" s="296">
        <f>E23*E19/1000</f>
        <v>410.26984000000004</v>
      </c>
      <c r="F29" s="297"/>
      <c r="G29" s="296">
        <f>G23*G19/1000</f>
        <v>799.4874296783845</v>
      </c>
      <c r="H29" s="296">
        <f>H23*H19/1000</f>
        <v>1383.9381655686559</v>
      </c>
      <c r="I29" s="296">
        <f>I23*I19/1000</f>
        <v>4004</v>
      </c>
      <c r="J29" s="378"/>
      <c r="K29" s="455"/>
      <c r="L29" s="7"/>
      <c r="M29" s="382"/>
      <c r="N29" s="382"/>
      <c r="O29" s="382"/>
      <c r="P29" s="382"/>
      <c r="Q29" s="382"/>
      <c r="R29" s="382"/>
      <c r="S29" s="382"/>
      <c r="T29" s="382"/>
      <c r="U29" s="382"/>
      <c r="V29" s="382"/>
      <c r="W29" s="382"/>
      <c r="X29" s="382"/>
      <c r="Y29" s="382"/>
      <c r="Z29" s="382"/>
      <c r="AA29" s="382"/>
      <c r="AB29" s="382"/>
      <c r="AC29" s="382"/>
      <c r="AD29" s="382"/>
      <c r="AE29" s="382"/>
      <c r="AF29" s="382"/>
      <c r="AG29" s="382"/>
    </row>
    <row r="30" spans="1:33" ht="15.75">
      <c r="A30" s="173" t="s">
        <v>255</v>
      </c>
      <c r="B30" s="382"/>
      <c r="C30" s="296">
        <f>C24*C11*C8/1000</f>
        <v>450</v>
      </c>
      <c r="D30" s="296">
        <f>D24*D11*D8/1000</f>
        <v>450</v>
      </c>
      <c r="E30" s="296">
        <f>E24*E11*E8/1000</f>
        <v>450</v>
      </c>
      <c r="F30" s="382"/>
      <c r="G30" s="296">
        <f>G24*G11*G8/1000</f>
        <v>675</v>
      </c>
      <c r="H30" s="296">
        <f>H24*H11*H8/1000</f>
        <v>450</v>
      </c>
      <c r="I30" s="296">
        <f>I24*I11*I8/1000</f>
        <v>600</v>
      </c>
      <c r="J30" s="382"/>
      <c r="K30" s="466"/>
      <c r="L30" s="17"/>
      <c r="M30" s="382"/>
      <c r="N30" s="382"/>
      <c r="O30" s="382"/>
      <c r="P30" s="382"/>
      <c r="Q30" s="382"/>
      <c r="R30" s="382"/>
      <c r="S30" s="382"/>
      <c r="T30" s="382"/>
      <c r="U30" s="382"/>
      <c r="V30" s="382"/>
      <c r="W30" s="382"/>
      <c r="X30" s="382"/>
      <c r="Y30" s="382"/>
      <c r="Z30" s="382"/>
      <c r="AA30" s="382"/>
      <c r="AB30" s="382"/>
      <c r="AC30" s="382"/>
      <c r="AD30" s="382"/>
      <c r="AE30" s="382"/>
      <c r="AF30" s="382"/>
      <c r="AG30" s="382"/>
    </row>
    <row r="31" spans="1:33" ht="15.75">
      <c r="A31" s="173" t="s">
        <v>112</v>
      </c>
      <c r="B31" s="17"/>
      <c r="C31" s="377">
        <v>431.78516666666667</v>
      </c>
      <c r="D31" s="377">
        <v>410.9306666666667</v>
      </c>
      <c r="E31" s="377">
        <v>362.67216666666667</v>
      </c>
      <c r="F31" s="297"/>
      <c r="G31" s="377">
        <v>322.2511428571429</v>
      </c>
      <c r="H31" s="377">
        <v>306.26771428571425</v>
      </c>
      <c r="I31" s="377">
        <v>400.64714285714285</v>
      </c>
      <c r="J31" s="378"/>
      <c r="K31" s="455"/>
      <c r="L31" s="7"/>
      <c r="M31" s="382"/>
      <c r="N31" s="382"/>
      <c r="O31" s="382"/>
      <c r="P31" s="382"/>
      <c r="Q31" s="382"/>
      <c r="R31" s="382"/>
      <c r="S31" s="382"/>
      <c r="T31" s="382"/>
      <c r="U31" s="382"/>
      <c r="V31" s="382"/>
      <c r="W31" s="382"/>
      <c r="X31" s="382"/>
      <c r="Y31" s="382"/>
      <c r="Z31" s="382"/>
      <c r="AA31" s="382"/>
      <c r="AB31" s="382"/>
      <c r="AC31" s="382"/>
      <c r="AD31" s="382"/>
      <c r="AE31" s="382"/>
      <c r="AF31" s="382"/>
      <c r="AG31" s="382"/>
    </row>
    <row r="32" spans="1:33" ht="16.5" thickBot="1">
      <c r="A32" s="175" t="s">
        <v>279</v>
      </c>
      <c r="B32" s="31"/>
      <c r="C32" s="475">
        <f>-Brownsville!B56</f>
        <v>250</v>
      </c>
      <c r="D32" s="475">
        <f>-Caledonia!B56</f>
        <v>591.20000000000005</v>
      </c>
      <c r="E32" s="475">
        <f>-'New Albany'!B56</f>
        <v>488.8</v>
      </c>
      <c r="F32" s="475"/>
      <c r="G32" s="475">
        <f>-Gleason!B56</f>
        <v>92.2251014</v>
      </c>
      <c r="H32" s="475">
        <f>-Wheatland!B56</f>
        <v>203.273</v>
      </c>
      <c r="I32" s="475">
        <f>-Wilton!B56</f>
        <v>333.7</v>
      </c>
      <c r="J32" s="31"/>
      <c r="K32" s="142"/>
      <c r="L32" s="7"/>
      <c r="M32" s="382"/>
      <c r="N32" s="382"/>
      <c r="O32" s="382"/>
      <c r="P32" s="382"/>
      <c r="Q32" s="382"/>
      <c r="R32" s="382"/>
      <c r="S32" s="382"/>
      <c r="T32" s="382"/>
      <c r="U32" s="382"/>
      <c r="V32" s="382"/>
      <c r="W32" s="382"/>
      <c r="X32" s="382"/>
      <c r="Y32" s="382"/>
      <c r="Z32" s="382"/>
      <c r="AA32" s="382"/>
      <c r="AB32" s="382"/>
      <c r="AC32" s="382"/>
      <c r="AD32" s="382"/>
      <c r="AE32" s="382"/>
      <c r="AF32" s="382"/>
      <c r="AG32" s="382"/>
    </row>
    <row r="33" spans="1:33">
      <c r="L33" s="7"/>
      <c r="M33" s="382"/>
      <c r="N33" s="382"/>
      <c r="O33" s="382"/>
      <c r="P33" s="382"/>
      <c r="Q33" s="382"/>
      <c r="R33" s="382"/>
      <c r="S33" s="382"/>
      <c r="T33" s="382"/>
      <c r="U33" s="382"/>
      <c r="V33" s="382"/>
      <c r="W33" s="382"/>
      <c r="X33" s="382"/>
      <c r="Y33" s="382"/>
      <c r="Z33" s="382"/>
      <c r="AA33" s="382"/>
      <c r="AB33" s="382"/>
      <c r="AC33" s="382"/>
      <c r="AD33" s="382"/>
      <c r="AE33" s="382"/>
      <c r="AF33" s="382"/>
      <c r="AG33" s="382"/>
    </row>
    <row r="34" spans="1:33" ht="13.5" thickBo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7"/>
      <c r="M34" s="382"/>
      <c r="N34" s="382"/>
      <c r="O34" s="382"/>
      <c r="P34" s="382"/>
      <c r="Q34" s="382"/>
      <c r="R34" s="382"/>
      <c r="S34" s="382"/>
      <c r="T34" s="382"/>
      <c r="U34" s="382"/>
      <c r="V34" s="382"/>
      <c r="W34" s="382"/>
      <c r="X34" s="382"/>
      <c r="Y34" s="382"/>
      <c r="Z34" s="382"/>
      <c r="AA34" s="382"/>
      <c r="AB34" s="382"/>
      <c r="AC34" s="382"/>
      <c r="AD34" s="382"/>
      <c r="AE34" s="382"/>
      <c r="AF34" s="382"/>
      <c r="AG34" s="382"/>
    </row>
    <row r="35" spans="1:33" ht="15.75">
      <c r="A35" s="164" t="s">
        <v>36</v>
      </c>
      <c r="B35" s="185"/>
      <c r="C35" s="360"/>
      <c r="D35" s="360"/>
      <c r="E35" s="360"/>
      <c r="F35" s="361"/>
      <c r="G35" s="360"/>
      <c r="H35" s="360"/>
      <c r="I35" s="360"/>
      <c r="J35" s="360"/>
      <c r="K35" s="362"/>
      <c r="L35" s="7"/>
      <c r="M35" s="382"/>
      <c r="N35" s="382"/>
      <c r="O35" s="382"/>
      <c r="P35" s="382"/>
      <c r="Q35" s="382"/>
      <c r="R35" s="382"/>
      <c r="S35" s="382"/>
      <c r="T35" s="382"/>
      <c r="U35" s="382"/>
      <c r="V35" s="382"/>
      <c r="W35" s="382"/>
      <c r="X35" s="382"/>
      <c r="Y35" s="382"/>
      <c r="Z35" s="382"/>
      <c r="AA35" s="382"/>
      <c r="AB35" s="382"/>
      <c r="AC35" s="382"/>
      <c r="AD35" s="382"/>
      <c r="AE35" s="382"/>
      <c r="AF35" s="382"/>
      <c r="AG35" s="382"/>
    </row>
    <row r="36" spans="1:33" ht="15.75">
      <c r="A36" s="173"/>
      <c r="B36" s="169"/>
      <c r="C36" s="359"/>
      <c r="D36" s="359"/>
      <c r="E36" s="359"/>
      <c r="F36" s="245"/>
      <c r="G36" s="359"/>
      <c r="H36" s="359"/>
      <c r="I36" s="359"/>
      <c r="J36" s="359"/>
      <c r="K36" s="363"/>
      <c r="L36" s="7"/>
      <c r="M36" s="382"/>
      <c r="N36" s="382"/>
      <c r="O36" s="382"/>
      <c r="P36" s="382"/>
      <c r="Q36" s="382"/>
      <c r="R36" s="382"/>
      <c r="S36" s="382"/>
      <c r="T36" s="382"/>
      <c r="U36" s="382"/>
      <c r="V36" s="382"/>
      <c r="W36" s="382"/>
      <c r="X36" s="382"/>
      <c r="Y36" s="382"/>
      <c r="Z36" s="382"/>
      <c r="AA36" s="382"/>
      <c r="AB36" s="382"/>
      <c r="AC36" s="382"/>
      <c r="AD36" s="382"/>
      <c r="AE36" s="382"/>
      <c r="AF36" s="382"/>
      <c r="AG36" s="382"/>
    </row>
    <row r="37" spans="1:33" ht="15.75">
      <c r="A37" s="173" t="s">
        <v>38</v>
      </c>
      <c r="B37" s="169"/>
      <c r="C37" s="287">
        <v>0.35</v>
      </c>
      <c r="D37" s="287">
        <v>0.35</v>
      </c>
      <c r="E37" s="287">
        <v>0.35</v>
      </c>
      <c r="F37" s="245"/>
      <c r="G37" s="287">
        <v>0.35</v>
      </c>
      <c r="H37" s="287">
        <v>0.35</v>
      </c>
      <c r="I37" s="287">
        <v>0.35</v>
      </c>
      <c r="J37" s="356"/>
      <c r="K37" s="357">
        <v>0.35</v>
      </c>
      <c r="L37" s="7"/>
      <c r="M37" s="382"/>
      <c r="N37" s="382"/>
      <c r="O37" s="382"/>
      <c r="P37" s="382"/>
      <c r="Q37" s="382"/>
      <c r="R37" s="382"/>
      <c r="S37" s="382"/>
      <c r="T37" s="382"/>
      <c r="U37" s="382"/>
      <c r="V37" s="382"/>
      <c r="W37" s="382"/>
      <c r="X37" s="382"/>
      <c r="Y37" s="382"/>
      <c r="Z37" s="382"/>
      <c r="AA37" s="382"/>
      <c r="AB37" s="382"/>
      <c r="AC37" s="382"/>
      <c r="AD37" s="382"/>
      <c r="AE37" s="382"/>
      <c r="AF37" s="382"/>
      <c r="AG37" s="382"/>
    </row>
    <row r="38" spans="1:33" ht="15.75">
      <c r="A38" s="173" t="s">
        <v>39</v>
      </c>
      <c r="B38" s="169"/>
      <c r="C38" s="353">
        <v>0.06</v>
      </c>
      <c r="D38" s="353">
        <v>0.05</v>
      </c>
      <c r="E38" s="353">
        <v>0.05</v>
      </c>
      <c r="F38" s="245"/>
      <c r="G38" s="353">
        <v>0.06</v>
      </c>
      <c r="H38" s="353">
        <v>4.4999999999999998E-2</v>
      </c>
      <c r="I38" s="353">
        <v>7.1800000000000003E-2</v>
      </c>
      <c r="J38" s="255"/>
      <c r="K38" s="293"/>
      <c r="L38" s="7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82"/>
      <c r="AB38" s="382"/>
      <c r="AC38" s="382"/>
      <c r="AD38" s="382"/>
      <c r="AE38" s="382"/>
      <c r="AF38" s="382"/>
      <c r="AG38" s="382"/>
    </row>
    <row r="39" spans="1:33" ht="15.75">
      <c r="A39" s="173" t="s">
        <v>87</v>
      </c>
      <c r="B39" s="382"/>
      <c r="C39" s="353" t="s">
        <v>40</v>
      </c>
      <c r="D39" s="353" t="s">
        <v>40</v>
      </c>
      <c r="E39" s="353" t="s">
        <v>40</v>
      </c>
      <c r="F39" s="245"/>
      <c r="G39" s="353" t="s">
        <v>40</v>
      </c>
      <c r="H39" s="353">
        <v>3.4000000000000002E-2</v>
      </c>
      <c r="I39" s="353" t="s">
        <v>40</v>
      </c>
      <c r="J39" s="255"/>
      <c r="K39" s="293"/>
      <c r="L39" s="7"/>
      <c r="M39" s="382"/>
      <c r="N39" s="382"/>
      <c r="O39" s="382"/>
      <c r="P39" s="382"/>
      <c r="Q39" s="382"/>
      <c r="R39" s="382"/>
      <c r="S39" s="382"/>
      <c r="T39" s="382"/>
      <c r="U39" s="382"/>
      <c r="V39" s="382"/>
      <c r="W39" s="382"/>
      <c r="X39" s="382"/>
      <c r="Y39" s="382"/>
      <c r="Z39" s="382"/>
      <c r="AA39" s="382"/>
      <c r="AB39" s="382"/>
      <c r="AC39" s="382"/>
      <c r="AD39" s="382"/>
      <c r="AE39" s="382"/>
      <c r="AF39" s="382"/>
      <c r="AG39" s="382"/>
    </row>
    <row r="40" spans="1:33" ht="15.75">
      <c r="A40" s="173" t="s">
        <v>175</v>
      </c>
      <c r="B40" s="382"/>
      <c r="C40" s="353" t="s">
        <v>40</v>
      </c>
      <c r="D40" s="353" t="s">
        <v>40</v>
      </c>
      <c r="E40" s="353" t="s">
        <v>40</v>
      </c>
      <c r="F40" s="245"/>
      <c r="G40" s="353" t="s">
        <v>40</v>
      </c>
      <c r="H40" s="353">
        <v>1.2E-2</v>
      </c>
      <c r="I40" s="353" t="s">
        <v>40</v>
      </c>
      <c r="J40" s="355"/>
      <c r="K40" s="452"/>
      <c r="L40" s="7"/>
      <c r="M40" s="382"/>
      <c r="N40" s="382"/>
      <c r="O40" s="382"/>
      <c r="P40" s="382"/>
      <c r="Q40" s="382"/>
      <c r="R40" s="382"/>
      <c r="S40" s="382"/>
      <c r="T40" s="382"/>
      <c r="U40" s="382"/>
      <c r="V40" s="382"/>
      <c r="W40" s="382"/>
      <c r="X40" s="382"/>
      <c r="Y40" s="382"/>
      <c r="Z40" s="382"/>
      <c r="AA40" s="382"/>
      <c r="AB40" s="382"/>
      <c r="AC40" s="382"/>
      <c r="AD40" s="382"/>
      <c r="AE40" s="382"/>
      <c r="AF40" s="382"/>
      <c r="AG40" s="382"/>
    </row>
    <row r="41" spans="1:33" ht="15.75">
      <c r="A41" s="173" t="s">
        <v>178</v>
      </c>
      <c r="B41" s="169"/>
      <c r="C41" s="353">
        <v>2.5000000000000001E-3</v>
      </c>
      <c r="D41" s="353">
        <v>2.5000000000000001E-3</v>
      </c>
      <c r="E41" s="353">
        <v>2.5000000000000001E-3</v>
      </c>
      <c r="F41" s="245"/>
      <c r="G41" s="353">
        <v>2.5000000000000001E-3</v>
      </c>
      <c r="H41" s="353" t="s">
        <v>40</v>
      </c>
      <c r="I41" s="353">
        <v>1.5E-3</v>
      </c>
      <c r="J41" s="355"/>
      <c r="K41" s="452"/>
      <c r="L41" s="7"/>
      <c r="M41" s="382"/>
      <c r="N41" s="382"/>
      <c r="O41" s="382"/>
      <c r="P41" s="382"/>
      <c r="Q41" s="382"/>
      <c r="R41" s="382"/>
      <c r="S41" s="382"/>
      <c r="T41" s="382"/>
      <c r="U41" s="382"/>
      <c r="V41" s="382"/>
      <c r="W41" s="382"/>
      <c r="X41" s="382"/>
      <c r="Y41" s="382"/>
      <c r="Z41" s="382"/>
      <c r="AA41" s="382"/>
      <c r="AB41" s="382"/>
      <c r="AC41" s="382"/>
      <c r="AD41" s="382"/>
      <c r="AE41" s="382"/>
      <c r="AF41" s="382"/>
      <c r="AG41" s="382"/>
    </row>
    <row r="42" spans="1:33" ht="16.5" thickBot="1">
      <c r="A42" s="175" t="s">
        <v>179</v>
      </c>
      <c r="B42" s="176"/>
      <c r="C42" s="364">
        <v>2.5000000000000001E-3</v>
      </c>
      <c r="D42" s="364">
        <v>2.5000000000000001E-3</v>
      </c>
      <c r="E42" s="364">
        <v>2.5000000000000001E-3</v>
      </c>
      <c r="F42" s="365"/>
      <c r="G42" s="364">
        <v>2.5000000000000001E-3</v>
      </c>
      <c r="H42" s="364" t="s">
        <v>40</v>
      </c>
      <c r="I42" s="364">
        <v>1E-3</v>
      </c>
      <c r="J42" s="31"/>
      <c r="K42" s="142"/>
      <c r="L42" s="17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82"/>
      <c r="AB42" s="382"/>
      <c r="AC42" s="382"/>
      <c r="AD42" s="382"/>
      <c r="AE42" s="382"/>
      <c r="AF42" s="382"/>
      <c r="AG42" s="382"/>
    </row>
    <row r="43" spans="1:33" ht="15.75">
      <c r="A43" s="169"/>
      <c r="B43" s="17"/>
      <c r="C43" s="297"/>
      <c r="D43" s="297"/>
      <c r="E43" s="297"/>
      <c r="F43" s="297"/>
      <c r="G43" s="297"/>
      <c r="H43" s="297"/>
      <c r="I43" s="297"/>
      <c r="J43" s="378"/>
      <c r="K43" s="378"/>
      <c r="L43" s="7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382"/>
      <c r="Y43" s="382"/>
      <c r="Z43" s="382"/>
      <c r="AA43" s="382"/>
      <c r="AB43" s="382"/>
      <c r="AC43" s="382"/>
      <c r="AD43" s="382"/>
      <c r="AE43" s="382"/>
      <c r="AF43" s="382"/>
      <c r="AG43" s="382"/>
    </row>
    <row r="44" spans="1:33" ht="15.75">
      <c r="A44" s="169"/>
      <c r="B44" s="17"/>
      <c r="C44" s="297"/>
      <c r="D44" s="478"/>
      <c r="E44" s="465"/>
      <c r="F44" s="297"/>
      <c r="G44" s="297"/>
      <c r="H44" s="297"/>
      <c r="I44" s="297"/>
      <c r="J44" s="378"/>
      <c r="K44" s="378"/>
      <c r="L44" s="7"/>
      <c r="M44" s="382"/>
      <c r="N44" s="382"/>
      <c r="O44" s="382"/>
      <c r="P44" s="382"/>
      <c r="Q44" s="382"/>
      <c r="R44" s="382"/>
      <c r="S44" s="382"/>
      <c r="T44" s="382"/>
      <c r="U44" s="382"/>
      <c r="V44" s="382"/>
      <c r="W44" s="382"/>
      <c r="X44" s="382"/>
      <c r="Y44" s="382"/>
      <c r="Z44" s="382"/>
      <c r="AA44" s="382"/>
      <c r="AB44" s="382"/>
      <c r="AC44" s="382"/>
      <c r="AD44" s="382"/>
      <c r="AE44" s="382"/>
      <c r="AF44" s="382"/>
      <c r="AG44" s="382"/>
    </row>
    <row r="45" spans="1:33" ht="15.75">
      <c r="A45" s="473"/>
      <c r="B45" s="50"/>
      <c r="C45" s="474"/>
      <c r="D45" s="297"/>
      <c r="E45" s="297"/>
      <c r="F45" s="297"/>
      <c r="G45" s="297"/>
      <c r="H45" s="297"/>
      <c r="I45" s="297"/>
      <c r="J45" s="17"/>
      <c r="K45" s="17"/>
      <c r="L45" s="7"/>
      <c r="M45" s="382"/>
      <c r="N45" s="382"/>
      <c r="O45" s="382"/>
      <c r="P45" s="382"/>
      <c r="Q45" s="382"/>
      <c r="R45" s="382"/>
      <c r="S45" s="382"/>
      <c r="T45" s="382"/>
      <c r="U45" s="382"/>
      <c r="V45" s="382"/>
      <c r="W45" s="382"/>
      <c r="X45" s="382"/>
      <c r="Y45" s="382"/>
      <c r="Z45" s="382"/>
      <c r="AA45" s="382"/>
      <c r="AB45" s="382"/>
      <c r="AC45" s="382"/>
      <c r="AD45" s="382"/>
      <c r="AE45" s="382"/>
      <c r="AF45" s="382"/>
      <c r="AG45" s="382"/>
    </row>
    <row r="46" spans="1:33" ht="15.75">
      <c r="A46" s="169" t="s">
        <v>208</v>
      </c>
      <c r="B46" s="17"/>
      <c r="C46" s="297"/>
      <c r="D46" s="297"/>
      <c r="E46" s="297"/>
      <c r="F46" s="297"/>
      <c r="G46" s="297"/>
      <c r="H46" s="297"/>
      <c r="I46" s="297"/>
      <c r="J46" s="17"/>
      <c r="K46" s="17"/>
      <c r="L46" s="7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  <c r="AG46" s="382"/>
    </row>
    <row r="47" spans="1:33">
      <c r="A47" s="17"/>
      <c r="B47" s="17"/>
      <c r="C47" s="378"/>
      <c r="D47" s="378"/>
      <c r="E47" s="378"/>
      <c r="F47" s="378"/>
      <c r="G47" s="378"/>
      <c r="H47" s="378"/>
      <c r="I47" s="378"/>
      <c r="J47" s="378"/>
      <c r="K47" s="378"/>
      <c r="L47" s="7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382"/>
    </row>
    <row r="48" spans="1:33">
      <c r="L48" s="7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382"/>
      <c r="AA48" s="382"/>
      <c r="AB48" s="382"/>
      <c r="AC48" s="382"/>
      <c r="AD48" s="382"/>
      <c r="AE48" s="382"/>
      <c r="AF48" s="382"/>
      <c r="AG48" s="382"/>
    </row>
    <row r="49" spans="1:33">
      <c r="A49" s="17"/>
      <c r="B49" s="17"/>
      <c r="C49" s="378"/>
      <c r="D49" s="378"/>
      <c r="E49" s="378"/>
      <c r="F49" s="378"/>
      <c r="G49" s="378"/>
      <c r="H49" s="378"/>
      <c r="I49" s="378"/>
      <c r="J49" s="378"/>
      <c r="K49" s="378"/>
      <c r="L49" s="7"/>
      <c r="M49" s="382"/>
      <c r="N49" s="382"/>
      <c r="O49" s="382"/>
      <c r="P49" s="382"/>
      <c r="Q49" s="382"/>
      <c r="R49" s="382"/>
      <c r="S49" s="382"/>
      <c r="T49" s="382"/>
      <c r="U49" s="382"/>
      <c r="V49" s="382"/>
      <c r="W49" s="382"/>
      <c r="X49" s="382"/>
      <c r="Y49" s="382"/>
      <c r="Z49" s="382"/>
      <c r="AA49" s="382"/>
      <c r="AB49" s="382"/>
      <c r="AC49" s="382"/>
      <c r="AD49" s="382"/>
      <c r="AE49" s="382"/>
      <c r="AF49" s="382"/>
      <c r="AG49" s="382"/>
    </row>
    <row r="50" spans="1:33">
      <c r="L50" s="7"/>
      <c r="M50" s="382"/>
      <c r="N50" s="382"/>
      <c r="O50" s="382"/>
      <c r="P50" s="382"/>
      <c r="Q50" s="382"/>
      <c r="R50" s="382"/>
      <c r="S50" s="382"/>
      <c r="T50" s="382"/>
      <c r="U50" s="382"/>
      <c r="V50" s="382"/>
      <c r="W50" s="382"/>
      <c r="X50" s="382"/>
      <c r="Y50" s="382"/>
      <c r="Z50" s="382"/>
      <c r="AA50" s="382"/>
      <c r="AB50" s="382"/>
      <c r="AC50" s="382"/>
      <c r="AD50" s="382"/>
      <c r="AE50" s="382"/>
      <c r="AF50" s="382"/>
      <c r="AG50" s="382"/>
    </row>
    <row r="51" spans="1:33">
      <c r="L51" s="7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82"/>
      <c r="AB51" s="382"/>
      <c r="AC51" s="382"/>
      <c r="AD51" s="382"/>
      <c r="AE51" s="382"/>
      <c r="AF51" s="382"/>
      <c r="AG51" s="382"/>
    </row>
    <row r="52" spans="1:33">
      <c r="L52" s="145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82"/>
      <c r="AB52" s="382"/>
      <c r="AC52" s="382"/>
      <c r="AD52" s="382"/>
      <c r="AE52" s="382"/>
      <c r="AF52" s="382"/>
      <c r="AG52" s="382"/>
    </row>
    <row r="53" spans="1:33">
      <c r="L53" s="447"/>
      <c r="M53" s="382"/>
      <c r="N53" s="382"/>
      <c r="O53" s="382"/>
      <c r="P53" s="382"/>
      <c r="Q53" s="382"/>
      <c r="R53" s="382"/>
      <c r="S53" s="382"/>
      <c r="T53" s="382"/>
      <c r="U53" s="382"/>
      <c r="V53" s="382"/>
      <c r="W53" s="382"/>
      <c r="X53" s="382"/>
      <c r="Y53" s="382"/>
      <c r="Z53" s="382"/>
      <c r="AA53" s="382"/>
      <c r="AB53" s="382"/>
      <c r="AC53" s="382"/>
      <c r="AD53" s="382"/>
      <c r="AE53" s="382"/>
      <c r="AF53" s="382"/>
      <c r="AG53" s="382"/>
    </row>
    <row r="54" spans="1:33">
      <c r="A54" s="86"/>
      <c r="B54" s="17"/>
      <c r="C54" s="378"/>
      <c r="D54" s="378"/>
      <c r="E54" s="378"/>
      <c r="F54" s="378"/>
      <c r="G54" s="378"/>
      <c r="H54" s="378"/>
      <c r="I54" s="378"/>
      <c r="J54" s="378"/>
      <c r="K54" s="378"/>
      <c r="L54" s="447"/>
      <c r="M54" s="382"/>
      <c r="N54" s="382"/>
      <c r="O54" s="382"/>
      <c r="P54" s="382"/>
      <c r="Q54" s="382"/>
      <c r="R54" s="382"/>
      <c r="S54" s="382"/>
      <c r="T54" s="382"/>
      <c r="U54" s="382"/>
      <c r="V54" s="382"/>
      <c r="W54" s="382"/>
      <c r="X54" s="382"/>
      <c r="Y54" s="382"/>
      <c r="Z54" s="382"/>
      <c r="AA54" s="382"/>
      <c r="AB54" s="382"/>
      <c r="AC54" s="382"/>
      <c r="AD54" s="382"/>
      <c r="AE54" s="382"/>
      <c r="AF54" s="382"/>
      <c r="AG54" s="382"/>
    </row>
    <row r="55" spans="1:33">
      <c r="A55" s="382"/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447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  <c r="AA55" s="382"/>
      <c r="AB55" s="382"/>
      <c r="AC55" s="382"/>
      <c r="AD55" s="382"/>
      <c r="AE55" s="382"/>
      <c r="AF55" s="382"/>
      <c r="AG55" s="382"/>
    </row>
    <row r="56" spans="1:33">
      <c r="A56" s="382"/>
      <c r="B56" s="382"/>
      <c r="C56" s="382"/>
      <c r="D56" s="382"/>
      <c r="E56" s="382"/>
      <c r="F56" s="382"/>
      <c r="G56" s="382"/>
      <c r="H56" s="382"/>
      <c r="I56" s="382"/>
      <c r="J56" s="382"/>
      <c r="K56" s="382"/>
      <c r="L56" s="447"/>
      <c r="M56" s="382"/>
      <c r="N56" s="382"/>
      <c r="O56" s="382"/>
      <c r="P56" s="382"/>
      <c r="Q56" s="382"/>
      <c r="R56" s="382"/>
      <c r="S56" s="382"/>
      <c r="T56" s="382"/>
      <c r="U56" s="382"/>
      <c r="V56" s="382"/>
      <c r="W56" s="382"/>
      <c r="X56" s="382"/>
      <c r="Y56" s="382"/>
      <c r="Z56" s="382"/>
      <c r="AA56" s="382"/>
      <c r="AB56" s="382"/>
      <c r="AC56" s="382"/>
      <c r="AD56" s="382"/>
      <c r="AE56" s="382"/>
      <c r="AF56" s="382"/>
      <c r="AG56" s="382"/>
    </row>
    <row r="57" spans="1:33">
      <c r="A57" s="382"/>
      <c r="B57" s="382"/>
      <c r="C57" s="382"/>
      <c r="D57" s="382"/>
      <c r="E57" s="382"/>
      <c r="F57" s="382"/>
      <c r="G57" s="382"/>
      <c r="H57" s="382"/>
      <c r="I57" s="382"/>
      <c r="J57" s="382"/>
      <c r="K57" s="382"/>
      <c r="L57" s="447"/>
      <c r="M57" s="382"/>
      <c r="N57" s="382"/>
      <c r="O57" s="382"/>
      <c r="P57" s="382"/>
      <c r="Q57" s="382"/>
      <c r="R57" s="382"/>
      <c r="S57" s="382"/>
      <c r="T57" s="382"/>
      <c r="U57" s="382"/>
      <c r="V57" s="382"/>
      <c r="W57" s="382"/>
      <c r="X57" s="382"/>
      <c r="Y57" s="382"/>
      <c r="Z57" s="382"/>
      <c r="AA57" s="382"/>
      <c r="AB57" s="382"/>
      <c r="AC57" s="382"/>
      <c r="AD57" s="382"/>
      <c r="AE57" s="382"/>
      <c r="AF57" s="382"/>
      <c r="AG57" s="382"/>
    </row>
    <row r="58" spans="1:33">
      <c r="A58" s="382"/>
      <c r="B58" s="382"/>
      <c r="C58" s="382"/>
      <c r="D58" s="382"/>
      <c r="E58" s="382"/>
      <c r="F58" s="382"/>
      <c r="G58" s="382"/>
      <c r="H58" s="382"/>
      <c r="I58" s="382"/>
      <c r="J58" s="382"/>
      <c r="K58" s="382"/>
      <c r="L58" s="447"/>
      <c r="M58" s="382"/>
      <c r="N58" s="382"/>
      <c r="O58" s="382"/>
      <c r="P58" s="382"/>
      <c r="Q58" s="382"/>
      <c r="R58" s="382"/>
      <c r="S58" s="382"/>
      <c r="T58" s="382"/>
      <c r="U58" s="382"/>
      <c r="V58" s="382"/>
      <c r="W58" s="382"/>
      <c r="X58" s="382"/>
      <c r="Y58" s="382"/>
      <c r="Z58" s="382"/>
      <c r="AA58" s="382"/>
      <c r="AB58" s="382"/>
      <c r="AC58" s="382"/>
      <c r="AD58" s="382"/>
      <c r="AE58" s="382"/>
      <c r="AF58" s="382"/>
      <c r="AG58" s="382"/>
    </row>
    <row r="59" spans="1:33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447"/>
      <c r="M59" s="382"/>
      <c r="N59" s="382"/>
      <c r="O59" s="382"/>
      <c r="P59" s="382"/>
      <c r="Q59" s="382"/>
      <c r="R59" s="382"/>
      <c r="S59" s="382"/>
      <c r="T59" s="382"/>
      <c r="U59" s="382"/>
      <c r="V59" s="382"/>
      <c r="W59" s="382"/>
      <c r="X59" s="382"/>
      <c r="Y59" s="382"/>
      <c r="Z59" s="382"/>
      <c r="AA59" s="382"/>
      <c r="AB59" s="382"/>
      <c r="AC59" s="382"/>
      <c r="AD59" s="382"/>
      <c r="AE59" s="382"/>
      <c r="AF59" s="382"/>
      <c r="AG59" s="382"/>
    </row>
    <row r="60" spans="1:33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382"/>
      <c r="P60" s="382"/>
      <c r="Q60" s="382"/>
      <c r="R60" s="382"/>
      <c r="S60" s="382"/>
      <c r="T60" s="382"/>
      <c r="U60" s="382"/>
      <c r="V60" s="382"/>
      <c r="W60" s="382"/>
      <c r="X60" s="382"/>
      <c r="Y60" s="382"/>
      <c r="Z60" s="382"/>
      <c r="AA60" s="382"/>
      <c r="AB60" s="382"/>
      <c r="AC60" s="382"/>
      <c r="AD60" s="382"/>
      <c r="AE60" s="382"/>
      <c r="AF60" s="382"/>
      <c r="AG60" s="382"/>
    </row>
    <row r="61" spans="1:33">
      <c r="A61" s="382"/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82"/>
      <c r="AB61" s="382"/>
      <c r="AC61" s="382"/>
      <c r="AD61" s="382"/>
      <c r="AE61" s="382"/>
      <c r="AF61" s="382"/>
      <c r="AG61" s="382"/>
    </row>
    <row r="62" spans="1:33"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382"/>
      <c r="X62" s="382"/>
      <c r="Y62" s="382"/>
      <c r="Z62" s="382"/>
      <c r="AA62" s="382"/>
      <c r="AB62" s="382"/>
      <c r="AC62" s="382"/>
      <c r="AD62" s="382"/>
      <c r="AE62" s="382"/>
      <c r="AF62" s="382"/>
      <c r="AG62" s="382"/>
    </row>
    <row r="63" spans="1:33">
      <c r="L63" s="382"/>
      <c r="M63" s="382"/>
      <c r="N63" s="382"/>
      <c r="O63" s="382"/>
      <c r="P63" s="382"/>
      <c r="Q63" s="382"/>
      <c r="R63" s="382"/>
      <c r="S63" s="382"/>
      <c r="T63" s="382"/>
      <c r="U63" s="382"/>
      <c r="V63" s="382"/>
      <c r="W63" s="382"/>
      <c r="X63" s="382"/>
      <c r="Y63" s="382"/>
      <c r="Z63" s="382"/>
      <c r="AA63" s="382"/>
      <c r="AB63" s="382"/>
      <c r="AC63" s="382"/>
      <c r="AD63" s="382"/>
      <c r="AE63" s="382"/>
      <c r="AF63" s="382"/>
      <c r="AG63" s="382"/>
    </row>
    <row r="64" spans="1:33"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382"/>
      <c r="AB64" s="382"/>
      <c r="AC64" s="382"/>
      <c r="AD64" s="382"/>
      <c r="AE64" s="382"/>
      <c r="AF64" s="382"/>
      <c r="AG64" s="382"/>
    </row>
    <row r="65" spans="12:33">
      <c r="L65" s="382"/>
      <c r="M65" s="382"/>
      <c r="N65" s="382"/>
      <c r="O65" s="382"/>
      <c r="P65" s="382"/>
      <c r="Q65" s="382"/>
      <c r="R65" s="382"/>
      <c r="S65" s="382"/>
      <c r="T65" s="382"/>
      <c r="U65" s="382"/>
      <c r="V65" s="382"/>
      <c r="W65" s="382"/>
      <c r="X65" s="382"/>
      <c r="Y65" s="382"/>
      <c r="Z65" s="382"/>
      <c r="AA65" s="382"/>
      <c r="AB65" s="382"/>
      <c r="AC65" s="382"/>
      <c r="AD65" s="382"/>
      <c r="AE65" s="382"/>
      <c r="AF65" s="382"/>
      <c r="AG65" s="382"/>
    </row>
    <row r="66" spans="12:33"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82"/>
      <c r="AB66" s="382"/>
      <c r="AC66" s="382"/>
      <c r="AD66" s="382"/>
      <c r="AE66" s="382"/>
      <c r="AF66" s="382"/>
      <c r="AG66" s="382"/>
    </row>
    <row r="67" spans="12:33"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82"/>
      <c r="AB67" s="382"/>
      <c r="AC67" s="382"/>
      <c r="AD67" s="382"/>
      <c r="AE67" s="382"/>
      <c r="AF67" s="382"/>
      <c r="AG67" s="382"/>
    </row>
    <row r="68" spans="12:33">
      <c r="L68" s="382"/>
      <c r="M68" s="382"/>
      <c r="N68" s="382"/>
      <c r="O68" s="382"/>
      <c r="P68" s="382"/>
      <c r="Q68" s="382"/>
      <c r="R68" s="382"/>
      <c r="S68" s="382"/>
      <c r="T68" s="382"/>
      <c r="U68" s="382"/>
      <c r="V68" s="382"/>
      <c r="W68" s="382"/>
      <c r="X68" s="382"/>
      <c r="Y68" s="382"/>
      <c r="Z68" s="382"/>
      <c r="AA68" s="382"/>
      <c r="AB68" s="382"/>
      <c r="AC68" s="382"/>
      <c r="AD68" s="382"/>
      <c r="AE68" s="382"/>
      <c r="AF68" s="382"/>
      <c r="AG68" s="382"/>
    </row>
    <row r="69" spans="12:33">
      <c r="L69" s="382"/>
      <c r="M69" s="382"/>
      <c r="N69" s="382"/>
      <c r="O69" s="382"/>
      <c r="P69" s="382"/>
      <c r="Q69" s="382"/>
      <c r="R69" s="382"/>
      <c r="S69" s="382"/>
      <c r="T69" s="382"/>
      <c r="U69" s="382"/>
      <c r="V69" s="382"/>
      <c r="W69" s="382"/>
      <c r="X69" s="382"/>
      <c r="Y69" s="382"/>
      <c r="Z69" s="382"/>
      <c r="AA69" s="382"/>
      <c r="AB69" s="382"/>
      <c r="AC69" s="382"/>
      <c r="AD69" s="382"/>
      <c r="AE69" s="382"/>
      <c r="AF69" s="382"/>
      <c r="AG69" s="382"/>
    </row>
  </sheetData>
  <mergeCells count="2">
    <mergeCell ref="C5:E5"/>
    <mergeCell ref="G5:I5"/>
  </mergeCells>
  <pageMargins left="0.75" right="0.75" top="1" bottom="1" header="0.5" footer="0.5"/>
  <pageSetup scale="66" orientation="landscape" verticalDpi="0" r:id="rId1"/>
  <headerFooter alignWithMargins="0">
    <oddHeader>&amp;L&amp;12Enron's Generation&amp;RCONFIDENTIAL</oddHeader>
    <oddFooter>&amp;L&amp;D&amp;C&amp;F&amp;RPage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72"/>
  <sheetViews>
    <sheetView zoomScale="75" zoomScaleNormal="75" workbookViewId="0"/>
  </sheetViews>
  <sheetFormatPr defaultColWidth="9.28515625" defaultRowHeight="15.75"/>
  <cols>
    <col min="1" max="1" width="52" style="36" bestFit="1" customWidth="1"/>
    <col min="2" max="2" width="6.7109375" style="36" customWidth="1"/>
    <col min="3" max="5" width="9.85546875" style="36" customWidth="1"/>
    <col min="6" max="7" width="11.5703125" style="36" customWidth="1"/>
    <col min="8" max="8" width="10.28515625" style="36" customWidth="1"/>
    <col min="9" max="22" width="9.85546875" style="36" customWidth="1"/>
    <col min="23" max="16384" width="9.28515625" style="36"/>
  </cols>
  <sheetData>
    <row r="1" spans="1:22" ht="12" customHeight="1">
      <c r="A1" s="25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</row>
    <row r="2" spans="1:22" ht="18.75">
      <c r="A2" s="412" t="s">
        <v>237</v>
      </c>
      <c r="B2" s="124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</row>
    <row r="3" spans="1:22"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</row>
    <row r="4" spans="1:22">
      <c r="C4" s="206">
        <v>2001</v>
      </c>
      <c r="D4" s="206">
        <v>2002</v>
      </c>
      <c r="E4" s="206">
        <v>2003</v>
      </c>
      <c r="F4" s="206">
        <v>2004</v>
      </c>
      <c r="G4" s="206">
        <v>2005</v>
      </c>
      <c r="H4" s="206">
        <v>2006</v>
      </c>
      <c r="I4" s="206">
        <v>2007</v>
      </c>
      <c r="J4" s="206">
        <v>2008</v>
      </c>
      <c r="K4" s="206">
        <v>2009</v>
      </c>
      <c r="L4" s="206">
        <v>2010</v>
      </c>
      <c r="M4" s="206">
        <v>2011</v>
      </c>
      <c r="N4" s="206">
        <v>2012</v>
      </c>
      <c r="O4" s="206">
        <v>2013</v>
      </c>
      <c r="P4" s="206">
        <v>2014</v>
      </c>
      <c r="Q4" s="206">
        <v>2015</v>
      </c>
      <c r="R4" s="206">
        <v>2016</v>
      </c>
      <c r="S4" s="206">
        <v>2017</v>
      </c>
      <c r="T4" s="206">
        <v>2018</v>
      </c>
      <c r="U4" s="206">
        <v>2019</v>
      </c>
      <c r="V4" s="206">
        <v>2020</v>
      </c>
    </row>
    <row r="5" spans="1:22"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</row>
    <row r="6" spans="1:22">
      <c r="A6" s="233" t="s">
        <v>261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</row>
    <row r="7" spans="1:22">
      <c r="A7" s="233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</row>
    <row r="8" spans="1:22">
      <c r="A8" s="36" t="s">
        <v>258</v>
      </c>
      <c r="C8" s="213">
        <f>Assumptions!$C$16</f>
        <v>4</v>
      </c>
      <c r="D8" s="213">
        <f>Assumptions!$C$16</f>
        <v>4</v>
      </c>
      <c r="E8" s="213">
        <f>Assumptions!$C$16</f>
        <v>4</v>
      </c>
      <c r="F8" s="515">
        <v>0</v>
      </c>
      <c r="G8" s="515">
        <v>0</v>
      </c>
      <c r="H8" s="515">
        <v>0</v>
      </c>
      <c r="I8" s="515">
        <v>0</v>
      </c>
      <c r="J8" s="515">
        <v>0</v>
      </c>
      <c r="K8" s="515">
        <v>0</v>
      </c>
      <c r="L8" s="515">
        <v>0</v>
      </c>
      <c r="M8" s="515">
        <v>0</v>
      </c>
      <c r="N8" s="515">
        <v>0</v>
      </c>
      <c r="O8" s="515">
        <v>0</v>
      </c>
      <c r="P8" s="515">
        <v>0</v>
      </c>
      <c r="Q8" s="515">
        <v>0</v>
      </c>
      <c r="R8" s="515">
        <v>0</v>
      </c>
      <c r="S8" s="515">
        <v>0</v>
      </c>
      <c r="T8" s="515">
        <v>0</v>
      </c>
      <c r="U8" s="515">
        <v>0</v>
      </c>
      <c r="V8" s="515">
        <v>0</v>
      </c>
    </row>
    <row r="9" spans="1:22"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</row>
    <row r="10" spans="1:22"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</row>
    <row r="11" spans="1:22"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</row>
    <row r="12" spans="1:22">
      <c r="A12" s="233" t="s">
        <v>262</v>
      </c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</row>
    <row r="13" spans="1:22">
      <c r="A13" s="233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</row>
    <row r="14" spans="1:22">
      <c r="A14" s="215" t="s">
        <v>221</v>
      </c>
      <c r="C14" s="299">
        <f>Assumptions!C25</f>
        <v>0.03</v>
      </c>
      <c r="D14" s="169"/>
      <c r="E14" s="204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</row>
    <row r="15" spans="1:22">
      <c r="A15" s="215"/>
      <c r="B15" s="514"/>
      <c r="C15" s="169"/>
      <c r="D15" s="169"/>
      <c r="E15" s="204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</row>
    <row r="16" spans="1:22">
      <c r="A16" s="169"/>
      <c r="B16" s="203"/>
      <c r="C16" s="169"/>
      <c r="D16" s="169"/>
      <c r="E16" s="204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</row>
    <row r="17" spans="1:28">
      <c r="A17" s="233" t="s">
        <v>50</v>
      </c>
      <c r="B17" s="169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</row>
    <row r="18" spans="1:28">
      <c r="A18" s="169" t="s">
        <v>196</v>
      </c>
      <c r="B18" s="169"/>
    </row>
    <row r="19" spans="1:28">
      <c r="A19" s="169"/>
      <c r="B19" s="169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</row>
    <row r="20" spans="1:28">
      <c r="A20" s="234" t="s">
        <v>51</v>
      </c>
      <c r="B20" s="169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</row>
    <row r="21" spans="1:28">
      <c r="A21" s="169" t="s">
        <v>222</v>
      </c>
      <c r="B21" s="207"/>
      <c r="C21" s="208">
        <v>60.97229916897507</v>
      </c>
      <c r="D21" s="208">
        <v>62.131742415801384</v>
      </c>
      <c r="E21" s="208">
        <v>63.313233521424777</v>
      </c>
      <c r="F21" s="208">
        <v>64.517191745760613</v>
      </c>
      <c r="G21" s="208">
        <v>65.744044321329639</v>
      </c>
      <c r="H21" s="208">
        <v>64.64769576191091</v>
      </c>
      <c r="I21" s="208">
        <v>63.569629925682506</v>
      </c>
      <c r="J21" s="208">
        <v>62.50954192970881</v>
      </c>
      <c r="K21" s="208">
        <v>61.467131975286122</v>
      </c>
      <c r="L21" s="208">
        <v>60.442105263157892</v>
      </c>
      <c r="M21" s="208">
        <v>59.792038989376501</v>
      </c>
      <c r="N21" s="208">
        <v>59.148964301319459</v>
      </c>
      <c r="O21" s="208">
        <v>58.512806003159973</v>
      </c>
      <c r="P21" s="208">
        <v>57.883489707816537</v>
      </c>
      <c r="Q21" s="208">
        <v>57.26094182825485</v>
      </c>
      <c r="R21" s="208">
        <v>56.386317952681878</v>
      </c>
      <c r="S21" s="208">
        <v>55.525053391491426</v>
      </c>
      <c r="T21" s="208">
        <v>54.676944089791142</v>
      </c>
      <c r="U21" s="208">
        <v>53.841789109495259</v>
      </c>
      <c r="V21" s="208">
        <v>53.019390581717452</v>
      </c>
      <c r="W21" s="209"/>
    </row>
    <row r="22" spans="1:28">
      <c r="A22" s="169"/>
      <c r="B22" s="169"/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10"/>
    </row>
    <row r="23" spans="1:28">
      <c r="A23" s="234" t="s">
        <v>52</v>
      </c>
      <c r="B23" s="169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10"/>
    </row>
    <row r="24" spans="1:28">
      <c r="A24" s="169" t="s">
        <v>223</v>
      </c>
      <c r="B24" s="211"/>
      <c r="C24" s="208">
        <f>C21*(1+'Power Price Assumption'!$C$14)^(C4-1998)</f>
        <v>66.626077554016618</v>
      </c>
      <c r="D24" s="208">
        <f>D21*(1+'Power Price Assumption'!$C$14)^(D4-1998)</f>
        <v>69.929823469635139</v>
      </c>
      <c r="E24" s="208">
        <f>E21*(1+'Power Price Assumption'!$C$14)^(E4-1998)</f>
        <v>73.397390181489428</v>
      </c>
      <c r="F24" s="208">
        <f>F21*(1+'Power Price Assumption'!$C$14)^(F4-1998)</f>
        <v>77.036900969627297</v>
      </c>
      <c r="G24" s="208">
        <f>G21*(1+'Power Price Assumption'!$C$14)^(G4-1998)</f>
        <v>80.85688191813766</v>
      </c>
      <c r="H24" s="208">
        <f>H21*(1+'Power Price Assumption'!$C$14)^(H4-1998)</f>
        <v>81.893766821837715</v>
      </c>
      <c r="I24" s="208">
        <f>I21*(1+'Power Price Assumption'!$C$14)^(I4-1998)</f>
        <v>82.943948432979582</v>
      </c>
      <c r="J24" s="208">
        <f>J21*(1+'Power Price Assumption'!$C$14)^(J4-1998)</f>
        <v>84.00759726463383</v>
      </c>
      <c r="K24" s="208">
        <f>K21*(1+'Power Price Assumption'!$C$14)^(K4-1998)</f>
        <v>85.084886016480638</v>
      </c>
      <c r="L24" s="208">
        <f>L21*(1+'Power Price Assumption'!$C$14)^(L4-1998)</f>
        <v>86.17598960285008</v>
      </c>
      <c r="M24" s="208">
        <f>M21*(1+'Power Price Assumption'!$C$14)^(M4-1998)</f>
        <v>87.806625051909762</v>
      </c>
      <c r="N24" s="208">
        <f>N21*(1+'Power Price Assumption'!$C$14)^(N4-1998)</f>
        <v>89.468115637997585</v>
      </c>
      <c r="O24" s="208">
        <f>O21*(1+'Power Price Assumption'!$C$14)^(O4-1998)</f>
        <v>91.161045206804843</v>
      </c>
      <c r="P24" s="208">
        <f>P21*(1+'Power Price Assumption'!$C$14)^(P4-1998)</f>
        <v>92.886008651641561</v>
      </c>
      <c r="Q24" s="208">
        <f>Q21*(1+'Power Price Assumption'!$C$14)^(Q4-1998)</f>
        <v>94.643612122481485</v>
      </c>
      <c r="R24" s="208">
        <f>R21*(1+'Power Price Assumption'!$C$14)^(R4-1998)</f>
        <v>95.993931884230719</v>
      </c>
      <c r="S24" s="208">
        <f>S21*(1+'Power Price Assumption'!$C$14)^(S4-1998)</f>
        <v>97.363517219409388</v>
      </c>
      <c r="T24" s="208">
        <f>T21*(1+'Power Price Assumption'!$C$14)^(T4-1998)</f>
        <v>98.752642997963164</v>
      </c>
      <c r="U24" s="208">
        <f>U21*(1+'Power Price Assumption'!$C$14)^(U4-1998)</f>
        <v>100.16158801152146</v>
      </c>
      <c r="V24" s="208">
        <f>V21*(1+'Power Price Assumption'!$C$14)^(V4-1998)</f>
        <v>101.59063502934997</v>
      </c>
      <c r="W24" s="210"/>
    </row>
    <row r="25" spans="1:28">
      <c r="A25" s="169" t="s">
        <v>224</v>
      </c>
      <c r="B25" s="169"/>
      <c r="C25" s="212">
        <f t="shared" ref="C25:V25" si="0">C24/12</f>
        <v>5.5521731295013845</v>
      </c>
      <c r="D25" s="212">
        <f t="shared" si="0"/>
        <v>5.8274852891362618</v>
      </c>
      <c r="E25" s="212">
        <f t="shared" si="0"/>
        <v>6.1164491817907853</v>
      </c>
      <c r="F25" s="212">
        <f t="shared" si="0"/>
        <v>6.4197417474689411</v>
      </c>
      <c r="G25" s="212">
        <f t="shared" si="0"/>
        <v>6.7380734931781383</v>
      </c>
      <c r="H25" s="212">
        <f t="shared" si="0"/>
        <v>6.824480568486476</v>
      </c>
      <c r="I25" s="212">
        <f t="shared" si="0"/>
        <v>6.9119957027482988</v>
      </c>
      <c r="J25" s="212">
        <f t="shared" si="0"/>
        <v>7.0006331053861528</v>
      </c>
      <c r="K25" s="212">
        <f t="shared" si="0"/>
        <v>7.0904071680400529</v>
      </c>
      <c r="L25" s="212">
        <f t="shared" si="0"/>
        <v>7.1813324669041734</v>
      </c>
      <c r="M25" s="212">
        <f t="shared" si="0"/>
        <v>7.3172187543258138</v>
      </c>
      <c r="N25" s="212">
        <f t="shared" si="0"/>
        <v>7.4556763031664657</v>
      </c>
      <c r="O25" s="212">
        <f t="shared" si="0"/>
        <v>7.5967537672337366</v>
      </c>
      <c r="P25" s="212">
        <f t="shared" si="0"/>
        <v>7.7405007209701298</v>
      </c>
      <c r="Q25" s="212">
        <f t="shared" si="0"/>
        <v>7.8869676768734571</v>
      </c>
      <c r="R25" s="212">
        <f t="shared" si="0"/>
        <v>7.9994943236858935</v>
      </c>
      <c r="S25" s="212">
        <f t="shared" si="0"/>
        <v>8.113626434950783</v>
      </c>
      <c r="T25" s="212">
        <f t="shared" si="0"/>
        <v>8.2293869164969298</v>
      </c>
      <c r="U25" s="212">
        <f t="shared" si="0"/>
        <v>8.3467990009601216</v>
      </c>
      <c r="V25" s="212">
        <f t="shared" si="0"/>
        <v>8.4658862524458307</v>
      </c>
      <c r="W25" s="210"/>
    </row>
    <row r="26" spans="1:28" ht="16.5" thickBot="1">
      <c r="A26" s="169"/>
      <c r="B26" s="169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2"/>
      <c r="X26" s="124"/>
      <c r="Y26" s="124"/>
      <c r="Z26" s="124"/>
      <c r="AA26" s="124"/>
      <c r="AB26" s="124"/>
    </row>
    <row r="27" spans="1:28" ht="16.5" thickBot="1">
      <c r="A27" s="510" t="s">
        <v>260</v>
      </c>
      <c r="B27" s="511"/>
      <c r="C27" s="512">
        <f>C8</f>
        <v>4</v>
      </c>
      <c r="D27" s="512">
        <f>D8</f>
        <v>4</v>
      </c>
      <c r="E27" s="512">
        <f>E8</f>
        <v>4</v>
      </c>
      <c r="F27" s="512">
        <f>F25</f>
        <v>6.4197417474689411</v>
      </c>
      <c r="G27" s="512">
        <f t="shared" ref="G27:V27" si="1">G25</f>
        <v>6.7380734931781383</v>
      </c>
      <c r="H27" s="512">
        <f t="shared" si="1"/>
        <v>6.824480568486476</v>
      </c>
      <c r="I27" s="512">
        <f t="shared" si="1"/>
        <v>6.9119957027482988</v>
      </c>
      <c r="J27" s="512">
        <f t="shared" si="1"/>
        <v>7.0006331053861528</v>
      </c>
      <c r="K27" s="512">
        <f t="shared" si="1"/>
        <v>7.0904071680400529</v>
      </c>
      <c r="L27" s="512">
        <f t="shared" si="1"/>
        <v>7.1813324669041734</v>
      </c>
      <c r="M27" s="512">
        <f t="shared" si="1"/>
        <v>7.3172187543258138</v>
      </c>
      <c r="N27" s="512">
        <f t="shared" si="1"/>
        <v>7.4556763031664657</v>
      </c>
      <c r="O27" s="512">
        <f t="shared" si="1"/>
        <v>7.5967537672337366</v>
      </c>
      <c r="P27" s="512">
        <f t="shared" si="1"/>
        <v>7.7405007209701298</v>
      </c>
      <c r="Q27" s="512">
        <f t="shared" si="1"/>
        <v>7.8869676768734571</v>
      </c>
      <c r="R27" s="512">
        <f t="shared" si="1"/>
        <v>7.9994943236858935</v>
      </c>
      <c r="S27" s="512">
        <f t="shared" si="1"/>
        <v>8.113626434950783</v>
      </c>
      <c r="T27" s="512">
        <f t="shared" si="1"/>
        <v>8.2293869164969298</v>
      </c>
      <c r="U27" s="512">
        <f t="shared" si="1"/>
        <v>8.3467990009601216</v>
      </c>
      <c r="V27" s="513">
        <f t="shared" si="1"/>
        <v>8.4658862524458307</v>
      </c>
    </row>
    <row r="28" spans="1:28" s="124" customFormat="1">
      <c r="A28" s="215"/>
      <c r="B28" s="38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</row>
    <row r="29" spans="1:28">
      <c r="A29" s="169"/>
      <c r="B29" s="216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09"/>
      <c r="X29" s="218"/>
      <c r="Y29" s="218"/>
    </row>
    <row r="30" spans="1:28">
      <c r="A30" s="233" t="s">
        <v>54</v>
      </c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</row>
    <row r="31" spans="1:28">
      <c r="A31" s="169" t="s">
        <v>55</v>
      </c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</row>
    <row r="32" spans="1:28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</row>
    <row r="33" spans="1:25">
      <c r="A33" s="234" t="s">
        <v>51</v>
      </c>
      <c r="B33" s="169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</row>
    <row r="34" spans="1:25">
      <c r="A34" s="169" t="s">
        <v>222</v>
      </c>
      <c r="B34" s="216"/>
      <c r="C34" s="208">
        <v>63.677659574468088</v>
      </c>
      <c r="D34" s="208">
        <v>65.100779776943028</v>
      </c>
      <c r="E34" s="208">
        <v>66.555705028853311</v>
      </c>
      <c r="F34" s="208">
        <v>68.043146135349346</v>
      </c>
      <c r="G34" s="208">
        <v>69.563829787234042</v>
      </c>
      <c r="H34" s="208">
        <v>68.90950818778056</v>
      </c>
      <c r="I34" s="208">
        <v>68.261341176951959</v>
      </c>
      <c r="J34" s="208">
        <v>67.619270864314558</v>
      </c>
      <c r="K34" s="208">
        <v>66.983239903955678</v>
      </c>
      <c r="L34" s="208">
        <v>66.353191489361706</v>
      </c>
      <c r="M34" s="208">
        <v>65.246684783649414</v>
      </c>
      <c r="N34" s="208">
        <v>64.158630198510451</v>
      </c>
      <c r="O34" s="208">
        <v>63.088720026136173</v>
      </c>
      <c r="P34" s="208">
        <v>62.036651690057468</v>
      </c>
      <c r="Q34" s="208">
        <v>61.002127659574469</v>
      </c>
      <c r="R34" s="208">
        <v>60.120860172387651</v>
      </c>
      <c r="S34" s="208">
        <v>59.25232391956542</v>
      </c>
      <c r="T34" s="208">
        <v>58.396334979278365</v>
      </c>
      <c r="U34" s="208">
        <v>57.55271208672454</v>
      </c>
      <c r="V34" s="208">
        <v>56.721276595744683</v>
      </c>
    </row>
    <row r="35" spans="1:25">
      <c r="A35" s="169"/>
      <c r="B35" s="216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</row>
    <row r="36" spans="1:25">
      <c r="A36" s="234" t="s">
        <v>52</v>
      </c>
      <c r="B36" s="216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</row>
    <row r="37" spans="1:25">
      <c r="A37" s="169" t="s">
        <v>223</v>
      </c>
      <c r="B37" s="216"/>
      <c r="C37" s="219">
        <f>C34*(1+'Power Price Assumption'!$C$14)^(C4-1998)</f>
        <v>69.582297913829791</v>
      </c>
      <c r="D37" s="219">
        <f>D34*(1+'Power Price Assumption'!$C$14)^(D4-1998)</f>
        <v>73.271501176819214</v>
      </c>
      <c r="E37" s="219">
        <f>E34*(1+'Power Price Assumption'!$C$14)^(E4-1998)</f>
        <v>77.156303336707765</v>
      </c>
      <c r="F37" s="219">
        <f>F34*(1+'Power Price Assumption'!$C$14)^(F4-1998)</f>
        <v>81.247074905972227</v>
      </c>
      <c r="G37" s="219">
        <f>G34*(1+'Power Price Assumption'!$C$14)^(G4-1998)</f>
        <v>85.554736234183238</v>
      </c>
      <c r="H37" s="219">
        <f>H34*(1+'Power Price Assumption'!$C$14)^(H4-1998)</f>
        <v>87.292503295415372</v>
      </c>
      <c r="I37" s="219">
        <f>I34*(1+'Power Price Assumption'!$C$14)^(I4-1998)</f>
        <v>89.065567459905907</v>
      </c>
      <c r="J37" s="219">
        <f>J34*(1+'Power Price Assumption'!$C$14)^(J4-1998)</f>
        <v>90.874645673859078</v>
      </c>
      <c r="K37" s="219">
        <f>K34*(1+'Power Price Assumption'!$C$14)^(K4-1998)</f>
        <v>92.720469445916706</v>
      </c>
      <c r="L37" s="219">
        <f>L34*(1+'Power Price Assumption'!$C$14)^(L4-1998)</f>
        <v>94.603785142946663</v>
      </c>
      <c r="M37" s="219">
        <f>M34*(1+'Power Price Assumption'!$C$14)^(M4-1998)</f>
        <v>95.816956295736318</v>
      </c>
      <c r="N37" s="219">
        <f>N34*(1+'Power Price Assumption'!$C$14)^(N4-1998)</f>
        <v>97.045684799045745</v>
      </c>
      <c r="O37" s="219">
        <f>O34*(1+'Power Price Assumption'!$C$14)^(O4-1998)</f>
        <v>98.29017015576828</v>
      </c>
      <c r="P37" s="219">
        <f>P34*(1+'Power Price Assumption'!$C$14)^(P4-1998)</f>
        <v>99.550614427163865</v>
      </c>
      <c r="Q37" s="219">
        <f>Q34*(1+'Power Price Assumption'!$C$14)^(Q4-1998)</f>
        <v>100.82722226566673</v>
      </c>
      <c r="R37" s="219">
        <f>R34*(1+'Power Price Assumption'!$C$14)^(R4-1998)</f>
        <v>102.35174002765409</v>
      </c>
      <c r="S37" s="219">
        <f>S34*(1+'Power Price Assumption'!$C$14)^(S4-1998)</f>
        <v>103.89930865184301</v>
      </c>
      <c r="T37" s="219">
        <f>T34*(1+'Power Price Assumption'!$C$14)^(T4-1998)</f>
        <v>105.47027666959309</v>
      </c>
      <c r="U37" s="219">
        <f>U34*(1+'Power Price Assumption'!$C$14)^(U4-1998)</f>
        <v>107.06499788209312</v>
      </c>
      <c r="V37" s="219">
        <f>V34*(1+'Power Price Assumption'!$C$14)^(V4-1998)</f>
        <v>108.68383144004159</v>
      </c>
    </row>
    <row r="38" spans="1:25">
      <c r="A38" s="169" t="s">
        <v>224</v>
      </c>
      <c r="B38" s="169"/>
      <c r="C38" s="212">
        <f t="shared" ref="C38:V38" si="2">C37/12</f>
        <v>5.7985248261524829</v>
      </c>
      <c r="D38" s="212">
        <f t="shared" si="2"/>
        <v>6.1059584314016009</v>
      </c>
      <c r="E38" s="212">
        <f t="shared" si="2"/>
        <v>6.4296919447256471</v>
      </c>
      <c r="F38" s="212">
        <f t="shared" si="2"/>
        <v>6.7705895754976853</v>
      </c>
      <c r="G38" s="212">
        <f t="shared" si="2"/>
        <v>7.1295613528486035</v>
      </c>
      <c r="H38" s="212">
        <f t="shared" si="2"/>
        <v>7.274375274617948</v>
      </c>
      <c r="I38" s="212">
        <f t="shared" si="2"/>
        <v>7.4221306216588259</v>
      </c>
      <c r="J38" s="212">
        <f t="shared" si="2"/>
        <v>7.5728871394882562</v>
      </c>
      <c r="K38" s="212">
        <f t="shared" si="2"/>
        <v>7.7267057871597258</v>
      </c>
      <c r="L38" s="212">
        <f t="shared" si="2"/>
        <v>7.8836487619122222</v>
      </c>
      <c r="M38" s="212">
        <f t="shared" si="2"/>
        <v>7.9847463579780262</v>
      </c>
      <c r="N38" s="212">
        <f t="shared" si="2"/>
        <v>8.0871403999204787</v>
      </c>
      <c r="O38" s="212">
        <f t="shared" si="2"/>
        <v>8.1908475129806906</v>
      </c>
      <c r="P38" s="212">
        <f t="shared" si="2"/>
        <v>8.2958845355969881</v>
      </c>
      <c r="Q38" s="212">
        <f t="shared" si="2"/>
        <v>8.4022685221388951</v>
      </c>
      <c r="R38" s="212">
        <f t="shared" si="2"/>
        <v>8.5293116689711734</v>
      </c>
      <c r="S38" s="212">
        <f t="shared" si="2"/>
        <v>8.6582757209869179</v>
      </c>
      <c r="T38" s="212">
        <f t="shared" si="2"/>
        <v>8.7891897224660909</v>
      </c>
      <c r="U38" s="212">
        <f t="shared" si="2"/>
        <v>8.9220831568410937</v>
      </c>
      <c r="V38" s="212">
        <f t="shared" si="2"/>
        <v>9.0569859533367989</v>
      </c>
    </row>
    <row r="39" spans="1:25" ht="16.5" thickBot="1">
      <c r="A39" s="169"/>
      <c r="B39" s="169"/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</row>
    <row r="40" spans="1:25" ht="16.5" thickBot="1">
      <c r="A40" s="510" t="s">
        <v>259</v>
      </c>
      <c r="B40" s="511"/>
      <c r="C40" s="512">
        <f>C8</f>
        <v>4</v>
      </c>
      <c r="D40" s="512">
        <f>D8</f>
        <v>4</v>
      </c>
      <c r="E40" s="512">
        <f>E8</f>
        <v>4</v>
      </c>
      <c r="F40" s="512">
        <f>F38</f>
        <v>6.7705895754976853</v>
      </c>
      <c r="G40" s="512">
        <f t="shared" ref="G40:V40" si="3">G38</f>
        <v>7.1295613528486035</v>
      </c>
      <c r="H40" s="512">
        <f t="shared" si="3"/>
        <v>7.274375274617948</v>
      </c>
      <c r="I40" s="512">
        <f t="shared" si="3"/>
        <v>7.4221306216588259</v>
      </c>
      <c r="J40" s="512">
        <f t="shared" si="3"/>
        <v>7.5728871394882562</v>
      </c>
      <c r="K40" s="512">
        <f t="shared" si="3"/>
        <v>7.7267057871597258</v>
      </c>
      <c r="L40" s="512">
        <f t="shared" si="3"/>
        <v>7.8836487619122222</v>
      </c>
      <c r="M40" s="512">
        <f t="shared" si="3"/>
        <v>7.9847463579780262</v>
      </c>
      <c r="N40" s="512">
        <f t="shared" si="3"/>
        <v>8.0871403999204787</v>
      </c>
      <c r="O40" s="512">
        <f t="shared" si="3"/>
        <v>8.1908475129806906</v>
      </c>
      <c r="P40" s="512">
        <f t="shared" si="3"/>
        <v>8.2958845355969881</v>
      </c>
      <c r="Q40" s="512">
        <f t="shared" si="3"/>
        <v>8.4022685221388951</v>
      </c>
      <c r="R40" s="512">
        <f t="shared" si="3"/>
        <v>8.5293116689711734</v>
      </c>
      <c r="S40" s="512">
        <f t="shared" si="3"/>
        <v>8.6582757209869179</v>
      </c>
      <c r="T40" s="512">
        <f t="shared" si="3"/>
        <v>8.7891897224660909</v>
      </c>
      <c r="U40" s="512">
        <f t="shared" si="3"/>
        <v>8.9220831568410937</v>
      </c>
      <c r="V40" s="513">
        <f t="shared" si="3"/>
        <v>9.0569859533367989</v>
      </c>
    </row>
    <row r="41" spans="1:25">
      <c r="A41" s="169"/>
      <c r="B41" s="216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</row>
    <row r="42" spans="1:25">
      <c r="A42" s="169"/>
      <c r="B42" s="216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</row>
    <row r="43" spans="1:25">
      <c r="A43" s="233" t="s">
        <v>220</v>
      </c>
      <c r="B43" s="216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09"/>
      <c r="X43" s="218"/>
      <c r="Y43" s="218"/>
    </row>
    <row r="44" spans="1:25">
      <c r="A44" s="169" t="s">
        <v>53</v>
      </c>
      <c r="B44" s="216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09"/>
      <c r="X44" s="218"/>
      <c r="Y44" s="218"/>
    </row>
    <row r="45" spans="1:25">
      <c r="A45" s="169"/>
      <c r="B45" s="216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09"/>
      <c r="X45" s="218"/>
      <c r="Y45" s="218"/>
    </row>
    <row r="46" spans="1:25">
      <c r="A46" s="234" t="s">
        <v>51</v>
      </c>
      <c r="B46" s="216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09"/>
      <c r="X46" s="218"/>
      <c r="Y46" s="218"/>
    </row>
    <row r="47" spans="1:25">
      <c r="A47" s="169" t="s">
        <v>222</v>
      </c>
      <c r="B47" s="216"/>
      <c r="C47" s="208">
        <v>64.11023686899189</v>
      </c>
      <c r="D47" s="208">
        <v>65.16178520495788</v>
      </c>
      <c r="E47" s="208">
        <v>66.230581237342975</v>
      </c>
      <c r="F47" s="208">
        <v>67.31690786615431</v>
      </c>
      <c r="G47" s="208">
        <v>68.421052631578945</v>
      </c>
      <c r="H47" s="208">
        <v>67.767228351637073</v>
      </c>
      <c r="I47" s="208">
        <v>67.119651946765785</v>
      </c>
      <c r="J47" s="208">
        <v>66.478263712937448</v>
      </c>
      <c r="K47" s="208">
        <v>65.843004516649714</v>
      </c>
      <c r="L47" s="208">
        <v>65.213815789473685</v>
      </c>
      <c r="M47" s="208">
        <v>64.559364113585431</v>
      </c>
      <c r="N47" s="208">
        <v>63.911480171710068</v>
      </c>
      <c r="O47" s="208">
        <v>63.270098053511326</v>
      </c>
      <c r="P47" s="208">
        <v>62.63515251009445</v>
      </c>
      <c r="Q47" s="208">
        <v>62.006578947368418</v>
      </c>
      <c r="R47" s="208">
        <v>61.12669629598323</v>
      </c>
      <c r="S47" s="208">
        <v>60.259299311334551</v>
      </c>
      <c r="T47" s="208">
        <v>59.404210819939543</v>
      </c>
      <c r="U47" s="208">
        <v>58.561256162433608</v>
      </c>
      <c r="V47" s="208">
        <v>57.73026315789474</v>
      </c>
      <c r="Y47" s="218"/>
    </row>
    <row r="48" spans="1:25">
      <c r="A48" s="180"/>
      <c r="B48" s="169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Y48" s="218"/>
    </row>
    <row r="49" spans="1:25">
      <c r="A49" s="234" t="s">
        <v>52</v>
      </c>
      <c r="B49" s="169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Y49" s="218"/>
    </row>
    <row r="50" spans="1:25">
      <c r="A50" s="169" t="s">
        <v>223</v>
      </c>
      <c r="B50" s="169"/>
      <c r="C50" s="208">
        <f>C47*(1+'Power Price Assumption'!$C$14)^(C4-1998)</f>
        <v>70.054986803142896</v>
      </c>
      <c r="D50" s="208">
        <f>D47*(1+'Power Price Assumption'!$C$14)^(D4-1998)</f>
        <v>73.340163323507738</v>
      </c>
      <c r="E50" s="208">
        <f>E47*(1+'Power Price Assumption'!$C$14)^(E4-1998)</f>
        <v>76.779395754271718</v>
      </c>
      <c r="F50" s="208">
        <f>F47*(1+'Power Price Assumption'!$C$14)^(F4-1998)</f>
        <v>80.379908432812655</v>
      </c>
      <c r="G50" s="208">
        <f>G47*(1+'Power Price Assumption'!$C$14)^(G4-1998)</f>
        <v>84.149264476438475</v>
      </c>
      <c r="H50" s="208">
        <f>H47*(1+'Power Price Assumption'!$C$14)^(H4-1998)</f>
        <v>85.845497374416453</v>
      </c>
      <c r="I50" s="208">
        <f>I47*(1+'Power Price Assumption'!$C$14)^(I4-1998)</f>
        <v>87.575921968092345</v>
      </c>
      <c r="J50" s="208">
        <f>J47*(1+'Power Price Assumption'!$C$14)^(J4-1998)</f>
        <v>89.341227474174616</v>
      </c>
      <c r="K50" s="208">
        <f>K47*(1+'Power Price Assumption'!$C$14)^(K4-1998)</f>
        <v>91.142117002209176</v>
      </c>
      <c r="L50" s="208">
        <f>L47*(1+'Power Price Assumption'!$C$14)^(L4-1998)</f>
        <v>92.979307834623327</v>
      </c>
      <c r="M50" s="208">
        <f>M47*(1+'Power Price Assumption'!$C$14)^(M4-1998)</f>
        <v>94.807602719795241</v>
      </c>
      <c r="N50" s="208">
        <f>N47*(1+'Power Price Assumption'!$C$14)^(N4-1998)</f>
        <v>96.67184820800982</v>
      </c>
      <c r="O50" s="208">
        <f>O47*(1+'Power Price Assumption'!$C$14)^(O4-1998)</f>
        <v>98.572751212506091</v>
      </c>
      <c r="P50" s="208">
        <f>P47*(1+'Power Price Assumption'!$C$14)^(P4-1998)</f>
        <v>100.51103254688311</v>
      </c>
      <c r="Q50" s="208">
        <f>Q47*(1+'Power Price Assumption'!$C$14)^(Q4-1998)</f>
        <v>102.48742719842927</v>
      </c>
      <c r="R50" s="208">
        <f>R47*(1+'Power Price Assumption'!$C$14)^(R4-1998)</f>
        <v>104.06410869865259</v>
      </c>
      <c r="S50" s="208">
        <f>S47*(1+'Power Price Assumption'!$C$14)^(S4-1998)</f>
        <v>105.66504609660987</v>
      </c>
      <c r="T50" s="208">
        <f>T47*(1+'Power Price Assumption'!$C$14)^(T4-1998)</f>
        <v>107.29061254856313</v>
      </c>
      <c r="U50" s="208">
        <f>U47*(1+'Power Price Assumption'!$C$14)^(U4-1998)</f>
        <v>108.94118695146447</v>
      </c>
      <c r="V50" s="208">
        <f>V47*(1+'Power Price Assumption'!$C$14)^(V4-1998)</f>
        <v>110.61715403127204</v>
      </c>
    </row>
    <row r="51" spans="1:25">
      <c r="A51" s="169" t="s">
        <v>224</v>
      </c>
      <c r="B51" s="169"/>
      <c r="C51" s="212">
        <f t="shared" ref="C51:V51" si="4">C50/12</f>
        <v>5.8379155669285749</v>
      </c>
      <c r="D51" s="212">
        <f t="shared" si="4"/>
        <v>6.1116802769589782</v>
      </c>
      <c r="E51" s="212">
        <f t="shared" si="4"/>
        <v>6.3982829795226435</v>
      </c>
      <c r="F51" s="212">
        <f t="shared" si="4"/>
        <v>6.6983257027343877</v>
      </c>
      <c r="G51" s="212">
        <f t="shared" si="4"/>
        <v>7.0124387063698732</v>
      </c>
      <c r="H51" s="212">
        <f t="shared" si="4"/>
        <v>7.1537914478680378</v>
      </c>
      <c r="I51" s="212">
        <f t="shared" si="4"/>
        <v>7.2979934973410288</v>
      </c>
      <c r="J51" s="212">
        <f t="shared" si="4"/>
        <v>7.4451022895145513</v>
      </c>
      <c r="K51" s="212">
        <f t="shared" si="4"/>
        <v>7.5951764168507649</v>
      </c>
      <c r="L51" s="212">
        <f t="shared" si="4"/>
        <v>7.748275652885277</v>
      </c>
      <c r="M51" s="212">
        <f t="shared" si="4"/>
        <v>7.9006335599829365</v>
      </c>
      <c r="N51" s="212">
        <f t="shared" si="4"/>
        <v>8.0559873506674844</v>
      </c>
      <c r="O51" s="212">
        <f t="shared" si="4"/>
        <v>8.2143959343755082</v>
      </c>
      <c r="P51" s="212">
        <f t="shared" si="4"/>
        <v>8.3759193789069268</v>
      </c>
      <c r="Q51" s="212">
        <f t="shared" si="4"/>
        <v>8.54061893320244</v>
      </c>
      <c r="R51" s="212">
        <f t="shared" si="4"/>
        <v>8.6720090582210485</v>
      </c>
      <c r="S51" s="212">
        <f t="shared" si="4"/>
        <v>8.8054205080508225</v>
      </c>
      <c r="T51" s="212">
        <f t="shared" si="4"/>
        <v>8.9408843790469277</v>
      </c>
      <c r="U51" s="212">
        <f t="shared" si="4"/>
        <v>9.0784322459553728</v>
      </c>
      <c r="V51" s="212">
        <f t="shared" si="4"/>
        <v>9.2180961692726697</v>
      </c>
    </row>
    <row r="52" spans="1:25" ht="16.5" thickBot="1">
      <c r="A52" s="169"/>
      <c r="B52" s="169"/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</row>
    <row r="53" spans="1:25" ht="16.5" thickBot="1">
      <c r="A53" s="510" t="s">
        <v>263</v>
      </c>
      <c r="B53" s="511"/>
      <c r="C53" s="512">
        <v>4</v>
      </c>
      <c r="D53" s="512">
        <v>4</v>
      </c>
      <c r="E53" s="512">
        <v>4</v>
      </c>
      <c r="F53" s="512">
        <f>F51</f>
        <v>6.6983257027343877</v>
      </c>
      <c r="G53" s="512">
        <f t="shared" ref="G53:V53" si="5">G51</f>
        <v>7.0124387063698732</v>
      </c>
      <c r="H53" s="512">
        <f t="shared" si="5"/>
        <v>7.1537914478680378</v>
      </c>
      <c r="I53" s="512">
        <f t="shared" si="5"/>
        <v>7.2979934973410288</v>
      </c>
      <c r="J53" s="512">
        <f t="shared" si="5"/>
        <v>7.4451022895145513</v>
      </c>
      <c r="K53" s="512">
        <f t="shared" si="5"/>
        <v>7.5951764168507649</v>
      </c>
      <c r="L53" s="512">
        <f t="shared" si="5"/>
        <v>7.748275652885277</v>
      </c>
      <c r="M53" s="512">
        <f t="shared" si="5"/>
        <v>7.9006335599829365</v>
      </c>
      <c r="N53" s="512">
        <f t="shared" si="5"/>
        <v>8.0559873506674844</v>
      </c>
      <c r="O53" s="512">
        <f t="shared" si="5"/>
        <v>8.2143959343755082</v>
      </c>
      <c r="P53" s="512">
        <f t="shared" si="5"/>
        <v>8.3759193789069268</v>
      </c>
      <c r="Q53" s="512">
        <f t="shared" si="5"/>
        <v>8.54061893320244</v>
      </c>
      <c r="R53" s="512">
        <f t="shared" si="5"/>
        <v>8.6720090582210485</v>
      </c>
      <c r="S53" s="512">
        <f t="shared" si="5"/>
        <v>8.8054205080508225</v>
      </c>
      <c r="T53" s="512">
        <f t="shared" si="5"/>
        <v>8.9408843790469277</v>
      </c>
      <c r="U53" s="512">
        <f t="shared" si="5"/>
        <v>9.0784322459553728</v>
      </c>
      <c r="V53" s="513">
        <f t="shared" si="5"/>
        <v>9.2180961692726697</v>
      </c>
    </row>
    <row r="54" spans="1:25">
      <c r="A54" s="169"/>
      <c r="B54" s="216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</row>
    <row r="55" spans="1:25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</row>
    <row r="56" spans="1:25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</row>
    <row r="57" spans="1:25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</row>
    <row r="58" spans="1:25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</row>
    <row r="59" spans="1:25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</row>
    <row r="60" spans="1:25">
      <c r="A60" s="169"/>
      <c r="B60" s="216"/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0"/>
    </row>
    <row r="61" spans="1:25">
      <c r="A61" s="169"/>
      <c r="B61" s="216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</row>
    <row r="62" spans="1:25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</row>
    <row r="63" spans="1:25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</row>
    <row r="64" spans="1:25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</row>
    <row r="65" spans="1:22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</row>
    <row r="66" spans="1:22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</row>
    <row r="67" spans="1:22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</row>
    <row r="68" spans="1:2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</row>
    <row r="69" spans="1:22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</row>
    <row r="70" spans="1:22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</row>
    <row r="71" spans="1:22">
      <c r="A71" s="169"/>
      <c r="B71" s="169"/>
    </row>
    <row r="72" spans="1:22">
      <c r="A72" s="169"/>
      <c r="B72" s="169"/>
    </row>
  </sheetData>
  <pageMargins left="0.75" right="0.75" top="1" bottom="1" header="0.5" footer="0.5"/>
  <pageSetup scale="46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AS48"/>
  <sheetViews>
    <sheetView zoomScale="75" zoomScaleNormal="75" workbookViewId="0"/>
  </sheetViews>
  <sheetFormatPr defaultRowHeight="12.75"/>
  <cols>
    <col min="1" max="1" width="33.7109375" style="16" customWidth="1"/>
    <col min="2" max="21" width="12.5703125" style="16" customWidth="1"/>
    <col min="22" max="22" width="12.5703125" style="7" customWidth="1"/>
    <col min="23" max="23" width="11.140625" style="7" bestFit="1" customWidth="1"/>
    <col min="24" max="24" width="11.5703125" style="16" bestFit="1" customWidth="1"/>
    <col min="25" max="16384" width="9.140625" style="16"/>
  </cols>
  <sheetData>
    <row r="2" spans="1:45" ht="18.75">
      <c r="A2" s="52" t="s">
        <v>151</v>
      </c>
      <c r="B2" s="26"/>
    </row>
    <row r="3" spans="1:45" ht="16.5" customHeight="1">
      <c r="A3" s="460"/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7"/>
    </row>
    <row r="4" spans="1:45">
      <c r="A4" s="460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</row>
    <row r="5" spans="1:45" s="7" customFormat="1" ht="13.5" thickBot="1">
      <c r="A5" s="194" t="s">
        <v>56</v>
      </c>
      <c r="B5" s="8">
        <f>Brownsville!$B$5</f>
        <v>2001</v>
      </c>
      <c r="C5" s="8">
        <f t="shared" ref="C5:U5" si="0">B5+1</f>
        <v>2002</v>
      </c>
      <c r="D5" s="8">
        <f>C5+1</f>
        <v>2003</v>
      </c>
      <c r="E5" s="8">
        <f>D5+1</f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>J5+1</f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V5" s="9"/>
      <c r="W5" s="9"/>
      <c r="Y5" s="469">
        <f>SUM(Z5:AS5)-SUM(Z6:AS6)</f>
        <v>0</v>
      </c>
      <c r="Z5" s="470">
        <f>B11+B12</f>
        <v>11488.844198871495</v>
      </c>
      <c r="AA5" s="470">
        <f>C11+C12</f>
        <v>11833.50952483764</v>
      </c>
      <c r="AB5" s="470">
        <f>D11+D12</f>
        <v>12188.51481058277</v>
      </c>
      <c r="AC5" s="470">
        <f t="shared" ref="AC5:AS5" si="1">E17</f>
        <v>10246.877194400251</v>
      </c>
      <c r="AD5" s="470">
        <f t="shared" si="1"/>
        <v>10554.283510232261</v>
      </c>
      <c r="AE5" s="470">
        <f t="shared" si="1"/>
        <v>10870.912015539227</v>
      </c>
      <c r="AF5" s="470">
        <f t="shared" si="1"/>
        <v>11197.039376005407</v>
      </c>
      <c r="AG5" s="470">
        <f t="shared" si="1"/>
        <v>11532.950557285567</v>
      </c>
      <c r="AH5" s="470">
        <f t="shared" si="1"/>
        <v>11878.939074004131</v>
      </c>
      <c r="AI5" s="470">
        <f t="shared" si="1"/>
        <v>12235.307246224258</v>
      </c>
      <c r="AJ5" s="470">
        <f t="shared" si="1"/>
        <v>12602.366463610986</v>
      </c>
      <c r="AK5" s="470">
        <f t="shared" si="1"/>
        <v>12980.437457519312</v>
      </c>
      <c r="AL5" s="470">
        <f t="shared" si="1"/>
        <v>13369.850581244891</v>
      </c>
      <c r="AM5" s="470">
        <f t="shared" si="1"/>
        <v>13770.946098682238</v>
      </c>
      <c r="AN5" s="470">
        <f t="shared" si="1"/>
        <v>14184.074481642707</v>
      </c>
      <c r="AO5" s="470">
        <f t="shared" si="1"/>
        <v>14609.596716091988</v>
      </c>
      <c r="AP5" s="470">
        <f t="shared" si="1"/>
        <v>15047.884617574748</v>
      </c>
      <c r="AQ5" s="470">
        <f t="shared" si="1"/>
        <v>15499.321156101989</v>
      </c>
      <c r="AR5" s="470">
        <f t="shared" si="1"/>
        <v>15964.30079078505</v>
      </c>
      <c r="AS5" s="470">
        <f t="shared" si="1"/>
        <v>16443.229814508602</v>
      </c>
    </row>
    <row r="6" spans="1:4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Y6" s="469">
        <v>0</v>
      </c>
      <c r="Z6" s="471">
        <f>B24+B25</f>
        <v>11488.844198871495</v>
      </c>
      <c r="AA6" s="471">
        <f>C24+C25</f>
        <v>11833.50952483764</v>
      </c>
      <c r="AB6" s="471">
        <f>D24+D25</f>
        <v>12188.51481058277</v>
      </c>
      <c r="AC6" s="471">
        <f t="shared" ref="AC6:AS6" si="2">E24+1/3*E25</f>
        <v>10246.877194400251</v>
      </c>
      <c r="AD6" s="471">
        <f t="shared" si="2"/>
        <v>10554.283510232261</v>
      </c>
      <c r="AE6" s="471">
        <f t="shared" si="2"/>
        <v>10870.912015539227</v>
      </c>
      <c r="AF6" s="471">
        <f t="shared" si="2"/>
        <v>11197.039376005407</v>
      </c>
      <c r="AG6" s="471">
        <f t="shared" si="2"/>
        <v>11532.950557285567</v>
      </c>
      <c r="AH6" s="471">
        <f t="shared" si="2"/>
        <v>11878.939074004133</v>
      </c>
      <c r="AI6" s="471">
        <f t="shared" si="2"/>
        <v>12235.307246224258</v>
      </c>
      <c r="AJ6" s="471">
        <f t="shared" si="2"/>
        <v>12602.366463610984</v>
      </c>
      <c r="AK6" s="471">
        <f t="shared" si="2"/>
        <v>12980.437457519312</v>
      </c>
      <c r="AL6" s="471">
        <f t="shared" si="2"/>
        <v>13369.850581244891</v>
      </c>
      <c r="AM6" s="471">
        <f t="shared" si="2"/>
        <v>13770.94609868224</v>
      </c>
      <c r="AN6" s="471">
        <f t="shared" si="2"/>
        <v>14184.07448164271</v>
      </c>
      <c r="AO6" s="471">
        <f t="shared" si="2"/>
        <v>14609.596716091986</v>
      </c>
      <c r="AP6" s="471">
        <f t="shared" si="2"/>
        <v>15047.884617574748</v>
      </c>
      <c r="AQ6" s="471">
        <f t="shared" si="2"/>
        <v>15499.321156101989</v>
      </c>
      <c r="AR6" s="471">
        <f t="shared" si="2"/>
        <v>15964.300790785048</v>
      </c>
      <c r="AS6" s="471">
        <f t="shared" si="2"/>
        <v>16443.229814508602</v>
      </c>
    </row>
    <row r="7" spans="1:45">
      <c r="A7" s="2"/>
      <c r="B7" s="416"/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  <c r="N7" s="416"/>
      <c r="O7" s="416"/>
      <c r="P7" s="416"/>
      <c r="Q7" s="416"/>
      <c r="R7" s="416"/>
      <c r="S7" s="416"/>
      <c r="T7" s="416"/>
      <c r="U7" s="416"/>
    </row>
    <row r="8" spans="1:45">
      <c r="A8" s="1" t="s">
        <v>57</v>
      </c>
      <c r="B8" s="417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91"/>
      <c r="W8" s="91"/>
    </row>
    <row r="9" spans="1:45">
      <c r="A9" s="34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91"/>
      <c r="W9" s="91"/>
    </row>
    <row r="10" spans="1:45">
      <c r="A10" s="3" t="s">
        <v>58</v>
      </c>
      <c r="B10" s="122">
        <f>SUM(Caledonia!B9,'New Albany'!B9,Wheatland!B9,Wilton!B9,Brownsville!B9,Gleason!B9)</f>
        <v>138384</v>
      </c>
      <c r="C10" s="122">
        <f>SUM(Caledonia!C9,'New Albany'!C9,Wheatland!C9,Wilton!C9,Brownsville!C9,Gleason!C9)</f>
        <v>138384</v>
      </c>
      <c r="D10" s="122">
        <f>SUM(Caledonia!D9,'New Albany'!D9,Wheatland!D9,Wilton!D9,Brownsville!D9,Gleason!D9)</f>
        <v>138384</v>
      </c>
      <c r="E10" s="122">
        <f>SUM(Caledonia!E9,'New Albany'!E9,Wheatland!E9,Wilton!E9,Brownsville!E9,Gleason!E9)</f>
        <v>0</v>
      </c>
      <c r="F10" s="122">
        <f>SUM(Caledonia!F9,'New Albany'!F9,Wheatland!F9,Wilton!F9,Brownsville!F9,Gleason!F9)</f>
        <v>0</v>
      </c>
      <c r="G10" s="122">
        <f>SUM(Caledonia!G9,'New Albany'!G9,Wheatland!G9,Wilton!G9,Brownsville!G9,Gleason!G9)</f>
        <v>0</v>
      </c>
      <c r="H10" s="122">
        <f>SUM(Caledonia!H9,'New Albany'!H9,Wheatland!H9,Wilton!H9,Brownsville!H9,Gleason!H9)</f>
        <v>0</v>
      </c>
      <c r="I10" s="122">
        <f>SUM(Caledonia!I9,'New Albany'!I9,Wheatland!I9,Wilton!I9,Brownsville!I9,Gleason!I9)</f>
        <v>0</v>
      </c>
      <c r="J10" s="122">
        <f>SUM(Caledonia!J9,'New Albany'!J9,Wheatland!J9,Wilton!J9,Brownsville!J9,Gleason!J9)</f>
        <v>0</v>
      </c>
      <c r="K10" s="122">
        <f>SUM(Caledonia!K9,'New Albany'!K9,Wheatland!K9,Wilton!K9,Brownsville!K9,Gleason!K9)</f>
        <v>0</v>
      </c>
      <c r="L10" s="122">
        <f>SUM(Caledonia!L9,'New Albany'!L9,Wheatland!L9,Wilton!L9,Brownsville!L9,Gleason!L9)</f>
        <v>0</v>
      </c>
      <c r="M10" s="122">
        <f>SUM(Caledonia!M9,'New Albany'!M9,Wheatland!M9,Wilton!M9,Brownsville!M9,Gleason!M9)</f>
        <v>0</v>
      </c>
      <c r="N10" s="122">
        <f>SUM(Caledonia!N9,'New Albany'!N9,Wheatland!N9,Wilton!N9,Brownsville!N9,Gleason!N9)</f>
        <v>0</v>
      </c>
      <c r="O10" s="122">
        <f>SUM(Caledonia!O9,'New Albany'!O9,Wheatland!O9,Wilton!O9,Brownsville!O9,Gleason!O9)</f>
        <v>0</v>
      </c>
      <c r="P10" s="122">
        <f>SUM(Caledonia!P9,'New Albany'!P9,Wheatland!P9,Wilton!P9,Brownsville!P9,Gleason!P9)</f>
        <v>0</v>
      </c>
      <c r="Q10" s="122">
        <f>SUM(Caledonia!Q9,'New Albany'!Q9,Wheatland!Q9,Wilton!Q9,Brownsville!Q9,Gleason!Q9)</f>
        <v>0</v>
      </c>
      <c r="R10" s="122">
        <f>SUM(Caledonia!R9,'New Albany'!R9,Wheatland!R9,Wilton!R9,Brownsville!R9,Gleason!R9)</f>
        <v>0</v>
      </c>
      <c r="S10" s="122">
        <f>SUM(Caledonia!S9,'New Albany'!S9,Wheatland!S9,Wilton!S9,Brownsville!S9,Gleason!S9)</f>
        <v>0</v>
      </c>
      <c r="T10" s="122">
        <f>SUM(Caledonia!T9,'New Albany'!T9,Wheatland!T9,Wilton!T9,Brownsville!T9,Gleason!T9)</f>
        <v>0</v>
      </c>
      <c r="U10" s="122">
        <f>SUM(Caledonia!U9,'New Albany'!U9,Wheatland!U9,Wilton!U9,Brownsville!U9,Gleason!U9)</f>
        <v>0</v>
      </c>
      <c r="W10" s="446">
        <f>SUM(B10:U10)</f>
        <v>415152</v>
      </c>
      <c r="X10" s="400">
        <f>SUM(Caledonia!W9,'New Albany'!W9,Wheatland!W9,Wilton!W9,Brownsville!W9,Gleason!W9)</f>
        <v>415152</v>
      </c>
      <c r="Y10" s="400">
        <f>W10-X10</f>
        <v>0</v>
      </c>
    </row>
    <row r="11" spans="1:45">
      <c r="A11" s="3" t="s">
        <v>204</v>
      </c>
      <c r="B11" s="122">
        <f>SUM(Caledonia!B10,'New Albany'!B10,Wheatland!B10,Wilton!B10,Brownsville!B10,Gleason!B10)</f>
        <v>8321.5941988714949</v>
      </c>
      <c r="C11" s="122">
        <f>SUM(Caledonia!C10,'New Albany'!C10,Wheatland!C10,Wilton!C10,Brownsville!C10,Gleason!C10)</f>
        <v>8571.2420248376402</v>
      </c>
      <c r="D11" s="122">
        <f>SUM(Caledonia!D10,'New Albany'!D10,Wheatland!D10,Wilton!D10,Brownsville!D10,Gleason!D10)</f>
        <v>8828.3792855827705</v>
      </c>
      <c r="E11" s="122">
        <f>SUM(Caledonia!E10,'New Albany'!E10,Wheatland!E10,Wilton!E10,Brownsville!E10,Gleason!E10)</f>
        <v>0</v>
      </c>
      <c r="F11" s="122">
        <f>SUM(Caledonia!F10,'New Albany'!F10,Wheatland!F10,Wilton!F10,Brownsville!F10,Gleason!F10)</f>
        <v>0</v>
      </c>
      <c r="G11" s="122">
        <f>SUM(Caledonia!G10,'New Albany'!G10,Wheatland!G10,Wilton!G10,Brownsville!G10,Gleason!G10)</f>
        <v>0</v>
      </c>
      <c r="H11" s="122">
        <f>SUM(Caledonia!H10,'New Albany'!H10,Wheatland!H10,Wilton!H10,Brownsville!H10,Gleason!H10)</f>
        <v>0</v>
      </c>
      <c r="I11" s="122">
        <f>SUM(Caledonia!I10,'New Albany'!I10,Wheatland!I10,Wilton!I10,Brownsville!I10,Gleason!I10)</f>
        <v>0</v>
      </c>
      <c r="J11" s="122">
        <f>SUM(Caledonia!J10,'New Albany'!J10,Wheatland!J10,Wilton!J10,Brownsville!J10,Gleason!J10)</f>
        <v>0</v>
      </c>
      <c r="K11" s="122">
        <f>SUM(Caledonia!K10,'New Albany'!K10,Wheatland!K10,Wilton!K10,Brownsville!K10,Gleason!K10)</f>
        <v>0</v>
      </c>
      <c r="L11" s="122">
        <f>SUM(Caledonia!L10,'New Albany'!L10,Wheatland!L10,Wilton!L10,Brownsville!L10,Gleason!L10)</f>
        <v>0</v>
      </c>
      <c r="M11" s="122">
        <f>SUM(Caledonia!M10,'New Albany'!M10,Wheatland!M10,Wilton!M10,Brownsville!M10,Gleason!M10)</f>
        <v>0</v>
      </c>
      <c r="N11" s="122">
        <f>SUM(Caledonia!N10,'New Albany'!N10,Wheatland!N10,Wilton!N10,Brownsville!N10,Gleason!N10)</f>
        <v>0</v>
      </c>
      <c r="O11" s="122">
        <f>SUM(Caledonia!O10,'New Albany'!O10,Wheatland!O10,Wilton!O10,Brownsville!O10,Gleason!O10)</f>
        <v>0</v>
      </c>
      <c r="P11" s="122">
        <f>SUM(Caledonia!P10,'New Albany'!P10,Wheatland!P10,Wilton!P10,Brownsville!P10,Gleason!P10)</f>
        <v>0</v>
      </c>
      <c r="Q11" s="122">
        <f>SUM(Caledonia!Q10,'New Albany'!Q10,Wheatland!Q10,Wilton!Q10,Brownsville!Q10,Gleason!Q10)</f>
        <v>0</v>
      </c>
      <c r="R11" s="122">
        <f>SUM(Caledonia!R10,'New Albany'!R10,Wheatland!R10,Wilton!R10,Brownsville!R10,Gleason!R10)</f>
        <v>0</v>
      </c>
      <c r="S11" s="122">
        <f>SUM(Caledonia!S10,'New Albany'!S10,Wheatland!S10,Wilton!S10,Brownsville!S10,Gleason!S10)</f>
        <v>0</v>
      </c>
      <c r="T11" s="122">
        <f>SUM(Caledonia!T10,'New Albany'!T10,Wheatland!T10,Wilton!T10,Brownsville!T10,Gleason!T10)</f>
        <v>0</v>
      </c>
      <c r="U11" s="122">
        <f>SUM(Caledonia!U10,'New Albany'!U10,Wheatland!U10,Wilton!U10,Brownsville!U10,Gleason!U10)</f>
        <v>0</v>
      </c>
      <c r="W11" s="446">
        <f>SUM(B11:U11)</f>
        <v>25721.215509291906</v>
      </c>
      <c r="X11" s="400">
        <f>SUM(Caledonia!W10,'New Albany'!W10,Wheatland!W10,Wilton!W10,Brownsville!W10,Gleason!W10)</f>
        <v>25721.215509291909</v>
      </c>
      <c r="Y11" s="400">
        <f>W11-X11</f>
        <v>0</v>
      </c>
    </row>
    <row r="12" spans="1:45">
      <c r="A12" s="3" t="s">
        <v>249</v>
      </c>
      <c r="B12" s="122">
        <f>SUM(Caledonia!B11,'New Albany'!B11,Wheatland!B11,Wilton!B11,Brownsville!B11,Gleason!B11)</f>
        <v>3167.25</v>
      </c>
      <c r="C12" s="122">
        <f>SUM(Caledonia!C11,'New Albany'!C11,Wheatland!C11,Wilton!C11,Brownsville!C11,Gleason!C11)</f>
        <v>3262.2675000000004</v>
      </c>
      <c r="D12" s="122">
        <f>SUM(Caledonia!D11,'New Albany'!D11,Wheatland!D11,Wilton!D11,Brownsville!D11,Gleason!D11)</f>
        <v>3360.1355250000001</v>
      </c>
      <c r="E12" s="122">
        <f>SUM(Caledonia!E11,'New Albany'!E11,Wheatland!E11,Wilton!E11,Brownsville!E11,Gleason!E11)</f>
        <v>0</v>
      </c>
      <c r="F12" s="122">
        <f>SUM(Caledonia!F11,'New Albany'!F11,Wheatland!F11,Wilton!F11,Brownsville!F11,Gleason!F11)</f>
        <v>0</v>
      </c>
      <c r="G12" s="122">
        <f>SUM(Caledonia!G11,'New Albany'!G11,Wheatland!G11,Wilton!G11,Brownsville!G11,Gleason!G11)</f>
        <v>0</v>
      </c>
      <c r="H12" s="122">
        <f>SUM(Caledonia!H11,'New Albany'!H11,Wheatland!H11,Wilton!H11,Brownsville!H11,Gleason!H11)</f>
        <v>0</v>
      </c>
      <c r="I12" s="122">
        <f>SUM(Caledonia!I11,'New Albany'!I11,Wheatland!I11,Wilton!I11,Brownsville!I11,Gleason!I11)</f>
        <v>0</v>
      </c>
      <c r="J12" s="122">
        <f>SUM(Caledonia!J11,'New Albany'!J11,Wheatland!J11,Wilton!J11,Brownsville!J11,Gleason!J11)</f>
        <v>0</v>
      </c>
      <c r="K12" s="122">
        <f>SUM(Caledonia!K11,'New Albany'!K11,Wheatland!K11,Wilton!K11,Brownsville!K11,Gleason!K11)</f>
        <v>0</v>
      </c>
      <c r="L12" s="122">
        <f>SUM(Caledonia!L11,'New Albany'!L11,Wheatland!L11,Wilton!L11,Brownsville!L11,Gleason!L11)</f>
        <v>0</v>
      </c>
      <c r="M12" s="122">
        <f>SUM(Caledonia!M11,'New Albany'!M11,Wheatland!M11,Wilton!M11,Brownsville!M11,Gleason!M11)</f>
        <v>0</v>
      </c>
      <c r="N12" s="122">
        <f>SUM(Caledonia!N11,'New Albany'!N11,Wheatland!N11,Wilton!N11,Brownsville!N11,Gleason!N11)</f>
        <v>0</v>
      </c>
      <c r="O12" s="122">
        <f>SUM(Caledonia!O11,'New Albany'!O11,Wheatland!O11,Wilton!O11,Brownsville!O11,Gleason!O11)</f>
        <v>0</v>
      </c>
      <c r="P12" s="122">
        <f>SUM(Caledonia!P11,'New Albany'!P11,Wheatland!P11,Wilton!P11,Brownsville!P11,Gleason!P11)</f>
        <v>0</v>
      </c>
      <c r="Q12" s="122">
        <f>SUM(Caledonia!Q11,'New Albany'!Q11,Wheatland!Q11,Wilton!Q11,Brownsville!Q11,Gleason!Q11)</f>
        <v>0</v>
      </c>
      <c r="R12" s="122">
        <f>SUM(Caledonia!R11,'New Albany'!R11,Wheatland!R11,Wilton!R11,Brownsville!R11,Gleason!R11)</f>
        <v>0</v>
      </c>
      <c r="S12" s="122">
        <f>SUM(Caledonia!S11,'New Albany'!S11,Wheatland!S11,Wilton!S11,Brownsville!S11,Gleason!S11)</f>
        <v>0</v>
      </c>
      <c r="T12" s="122">
        <f>SUM(Caledonia!T11,'New Albany'!T11,Wheatland!T11,Wilton!T11,Brownsville!T11,Gleason!T11)</f>
        <v>0</v>
      </c>
      <c r="U12" s="122">
        <f>SUM(Caledonia!U11,'New Albany'!U11,Wheatland!U11,Wilton!U11,Brownsville!U11,Gleason!U11)</f>
        <v>0</v>
      </c>
      <c r="W12" s="446">
        <f>SUM(B12:U12)</f>
        <v>9789.6530249999996</v>
      </c>
      <c r="X12" s="400">
        <f>SUM(Caledonia!W11,'New Albany'!W11,Wheatland!W11,Wilton!W11,Brownsville!W11,Gleason!W11)</f>
        <v>9789.6530249999996</v>
      </c>
      <c r="Y12" s="400">
        <f>W12-X12</f>
        <v>0</v>
      </c>
    </row>
    <row r="13" spans="1:45">
      <c r="A13" s="3" t="s">
        <v>269</v>
      </c>
      <c r="B13" s="122">
        <f>SUM(Caledonia!B12,'New Albany'!B12,Wheatland!B12,Wilton!B12,Brownsville!B12,Gleason!B12)</f>
        <v>54056.268887400991</v>
      </c>
      <c r="C13" s="122">
        <f>SUM(Caledonia!C12,'New Albany'!C12,Wheatland!C12,Wilton!C12,Brownsville!C12,Gleason!C12)</f>
        <v>54056.268887400991</v>
      </c>
      <c r="D13" s="122">
        <f>SUM(Caledonia!D12,'New Albany'!D12,Wheatland!D12,Wilton!D12,Brownsville!D12,Gleason!D12)</f>
        <v>54056.268887400991</v>
      </c>
      <c r="E13" s="122">
        <f>SUM(Caledonia!E12,'New Albany'!E12,Wheatland!E12,Wilton!E12,Brownsville!E12,Gleason!E12)</f>
        <v>0</v>
      </c>
      <c r="F13" s="122">
        <f>SUM(Caledonia!F12,'New Albany'!F12,Wheatland!F12,Wilton!F12,Brownsville!F12,Gleason!F12)</f>
        <v>0</v>
      </c>
      <c r="G13" s="122">
        <f>SUM(Caledonia!G12,'New Albany'!G12,Wheatland!G12,Wilton!G12,Brownsville!G12,Gleason!G12)</f>
        <v>0</v>
      </c>
      <c r="H13" s="122">
        <f>SUM(Caledonia!H12,'New Albany'!H12,Wheatland!H12,Wilton!H12,Brownsville!H12,Gleason!H12)</f>
        <v>0</v>
      </c>
      <c r="I13" s="122">
        <f>SUM(Caledonia!I12,'New Albany'!I12,Wheatland!I12,Wilton!I12,Brownsville!I12,Gleason!I12)</f>
        <v>0</v>
      </c>
      <c r="J13" s="122">
        <f>SUM(Caledonia!J12,'New Albany'!J12,Wheatland!J12,Wilton!J12,Brownsville!J12,Gleason!J12)</f>
        <v>0</v>
      </c>
      <c r="K13" s="122">
        <f>SUM(Caledonia!K12,'New Albany'!K12,Wheatland!K12,Wilton!K12,Brownsville!K12,Gleason!K12)</f>
        <v>0</v>
      </c>
      <c r="L13" s="122">
        <f>SUM(Caledonia!L12,'New Albany'!L12,Wheatland!L12,Wilton!L12,Brownsville!L12,Gleason!L12)</f>
        <v>0</v>
      </c>
      <c r="M13" s="122">
        <f>SUM(Caledonia!M12,'New Albany'!M12,Wheatland!M12,Wilton!M12,Brownsville!M12,Gleason!M12)</f>
        <v>0</v>
      </c>
      <c r="N13" s="122">
        <f>SUM(Caledonia!N12,'New Albany'!N12,Wheatland!N12,Wilton!N12,Brownsville!N12,Gleason!N12)</f>
        <v>0</v>
      </c>
      <c r="O13" s="122">
        <f>SUM(Caledonia!O12,'New Albany'!O12,Wheatland!O12,Wilton!O12,Brownsville!O12,Gleason!O12)</f>
        <v>0</v>
      </c>
      <c r="P13" s="122">
        <f>SUM(Caledonia!P12,'New Albany'!P12,Wheatland!P12,Wilton!P12,Brownsville!P12,Gleason!P12)</f>
        <v>0</v>
      </c>
      <c r="Q13" s="122">
        <f>SUM(Caledonia!Q12,'New Albany'!Q12,Wheatland!Q12,Wilton!Q12,Brownsville!Q12,Gleason!Q12)</f>
        <v>0</v>
      </c>
      <c r="R13" s="122">
        <f>SUM(Caledonia!R12,'New Albany'!R12,Wheatland!R12,Wilton!R12,Brownsville!R12,Gleason!R12)</f>
        <v>0</v>
      </c>
      <c r="S13" s="122">
        <f>SUM(Caledonia!S12,'New Albany'!S12,Wheatland!S12,Wilton!S12,Brownsville!S12,Gleason!S12)</f>
        <v>0</v>
      </c>
      <c r="T13" s="122">
        <f>SUM(Caledonia!T12,'New Albany'!T12,Wheatland!T12,Wilton!T12,Brownsville!T12,Gleason!T12)</f>
        <v>0</v>
      </c>
      <c r="U13" s="122">
        <f>SUM(Caledonia!U12,'New Albany'!U12,Wheatland!U12,Wilton!U12,Brownsville!U12,Gleason!U12)</f>
        <v>0</v>
      </c>
      <c r="W13" s="446">
        <f>SUM(B13:U13)</f>
        <v>162168.80666220299</v>
      </c>
      <c r="X13" s="400">
        <f>SUM(Caledonia!W12,'New Albany'!W12,Wheatland!W12,Wilton!W12,Brownsville!W12,Gleason!W12)</f>
        <v>162168.80666220299</v>
      </c>
      <c r="Y13" s="400">
        <f>W13-X13</f>
        <v>0</v>
      </c>
    </row>
    <row r="14" spans="1:45">
      <c r="A14" s="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W14" s="446"/>
      <c r="X14" s="44"/>
      <c r="Y14" s="44"/>
    </row>
    <row r="15" spans="1:45">
      <c r="A15" s="343" t="s">
        <v>274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W15" s="446"/>
      <c r="X15" s="44"/>
      <c r="Y15" s="44"/>
    </row>
    <row r="16" spans="1:45">
      <c r="A16" s="3" t="s">
        <v>58</v>
      </c>
      <c r="B16" s="122">
        <f>SUM(Caledonia!B15,'New Albany'!B15,Wheatland!B15,Wilton!B15,Brownsville!B15,Gleason!B15)</f>
        <v>0</v>
      </c>
      <c r="C16" s="122">
        <f>SUM(Caledonia!C15,'New Albany'!C15,Wheatland!C15,Wilton!C15,Brownsville!C15,Gleason!C15)</f>
        <v>0</v>
      </c>
      <c r="D16" s="122">
        <f>SUM(Caledonia!D15,'New Albany'!D15,Wheatland!D15,Wilton!D15,Brownsville!D15,Gleason!D15)</f>
        <v>0</v>
      </c>
      <c r="E16" s="122">
        <f>SUM(Caledonia!E15,'New Albany'!E15,Wheatland!E15,Wilton!E15,Brownsville!E15,Gleason!E15)</f>
        <v>226108.71578313431</v>
      </c>
      <c r="F16" s="122">
        <f>SUM(Caledonia!F15,'New Albany'!F15,Wheatland!F15,Wilton!F15,Brownsville!F15,Gleason!F15)</f>
        <v>237320.1506939792</v>
      </c>
      <c r="G16" s="122">
        <f>SUM(Caledonia!G15,'New Albany'!G15,Wheatland!G15,Wilton!G15,Brownsville!G15,Gleason!G15)</f>
        <v>241039.78806590749</v>
      </c>
      <c r="H16" s="122">
        <f>SUM(Caledonia!H15,'New Albany'!H15,Wheatland!H15,Wilton!H15,Brownsville!H15,Gleason!H15)</f>
        <v>244820.80418428406</v>
      </c>
      <c r="I16" s="122">
        <f>SUM(Caledonia!I15,'New Albany'!I15,Wheatland!I15,Wilton!I15,Brownsville!I15,Gleason!I15)</f>
        <v>248664.26283367604</v>
      </c>
      <c r="J16" s="122">
        <f>SUM(Caledonia!J15,'New Albany'!J15,Wheatland!J15,Wilton!J15,Brownsville!J15,Gleason!J15)</f>
        <v>252571.24703667156</v>
      </c>
      <c r="K16" s="122">
        <f>SUM(Caledonia!K15,'New Albany'!K15,Wheatland!K15,Wilton!K15,Brownsville!K15,Gleason!K15)</f>
        <v>256542.85941378033</v>
      </c>
      <c r="L16" s="122">
        <f>SUM(Caledonia!L15,'New Albany'!L15,Wheatland!L15,Wilton!L15,Brownsville!L15,Gleason!L15)</f>
        <v>261167.95013132872</v>
      </c>
      <c r="M16" s="122">
        <f>SUM(Caledonia!M15,'New Albany'!M15,Wheatland!M15,Wilton!M15,Brownsville!M15,Gleason!M15)</f>
        <v>265877.9042926071</v>
      </c>
      <c r="N16" s="122">
        <f>SUM(Caledonia!N15,'New Albany'!N15,Wheatland!N15,Wilton!N15,Brownsville!N15,Gleason!N15)</f>
        <v>270674.29930869752</v>
      </c>
      <c r="O16" s="122">
        <f>SUM(Caledonia!O15,'New Albany'!O15,Wheatland!O15,Wilton!O15,Brownsville!O15,Gleason!O15)</f>
        <v>275558.74218548497</v>
      </c>
      <c r="P16" s="122">
        <f>SUM(Caledonia!P15,'New Albany'!P15,Wheatland!P15,Wilton!P15,Brownsville!P15,Gleason!P15)</f>
        <v>280532.87008258747</v>
      </c>
      <c r="Q16" s="122">
        <f>SUM(Caledonia!Q15,'New Albany'!Q15,Wheatland!Q15,Wilton!Q15,Brownsville!Q15,Gleason!Q15)</f>
        <v>284645.34295281465</v>
      </c>
      <c r="R16" s="122">
        <f>SUM(Caledonia!R15,'New Albany'!R15,Wheatland!R15,Wilton!R15,Brownsville!R15,Gleason!R15)</f>
        <v>288818.17167413898</v>
      </c>
      <c r="S16" s="122">
        <f>SUM(Caledonia!S15,'New Albany'!S15,Wheatland!S15,Wilton!S15,Brownsville!S15,Gleason!S15)</f>
        <v>293052.24307555868</v>
      </c>
      <c r="T16" s="122">
        <f>SUM(Caledonia!T15,'New Albany'!T15,Wheatland!T15,Wilton!T15,Brownsville!T15,Gleason!T15)</f>
        <v>297348.45703187038</v>
      </c>
      <c r="U16" s="122">
        <f>SUM(Caledonia!U15,'New Albany'!U15,Wheatland!U15,Wilton!U15,Brownsville!U15,Gleason!U15)</f>
        <v>301707.72665580967</v>
      </c>
      <c r="W16" s="446">
        <f>SUM(B16:U16)</f>
        <v>4526451.5354023315</v>
      </c>
      <c r="X16" s="400">
        <f>SUM(Caledonia!W15,'New Albany'!W15,Wheatland!W15,Wilton!W15,Brownsville!W15,Gleason!W15)</f>
        <v>4526451.5354023306</v>
      </c>
      <c r="Y16" s="400">
        <f>W16-X16</f>
        <v>0</v>
      </c>
    </row>
    <row r="17" spans="1:25">
      <c r="A17" s="3" t="s">
        <v>59</v>
      </c>
      <c r="B17" s="122">
        <f>SUM(Caledonia!B16,'New Albany'!B16,Wheatland!B16,Wilton!B16,Brownsville!B16,Gleason!B16)</f>
        <v>0</v>
      </c>
      <c r="C17" s="122">
        <f>SUM(Caledonia!C16,'New Albany'!C16,Wheatland!C16,Wilton!C16,Brownsville!C16,Gleason!C16)</f>
        <v>0</v>
      </c>
      <c r="D17" s="122">
        <f>SUM(Caledonia!D16,'New Albany'!D16,Wheatland!D16,Wilton!D16,Brownsville!D16,Gleason!D16)</f>
        <v>0</v>
      </c>
      <c r="E17" s="122">
        <f>SUM(Caledonia!E16,'New Albany'!E16,Wheatland!E16,Wilton!E16,Brownsville!E16,Gleason!E16)</f>
        <v>10246.877194400251</v>
      </c>
      <c r="F17" s="122">
        <f>SUM(Caledonia!F16,'New Albany'!F16,Wheatland!F16,Wilton!F16,Brownsville!F16,Gleason!F16)</f>
        <v>10554.283510232261</v>
      </c>
      <c r="G17" s="122">
        <f>SUM(Caledonia!G16,'New Albany'!G16,Wheatland!G16,Wilton!G16,Brownsville!G16,Gleason!G16)</f>
        <v>10870.912015539227</v>
      </c>
      <c r="H17" s="122">
        <f>SUM(Caledonia!H16,'New Albany'!H16,Wheatland!H16,Wilton!H16,Brownsville!H16,Gleason!H16)</f>
        <v>11197.039376005407</v>
      </c>
      <c r="I17" s="122">
        <f>SUM(Caledonia!I16,'New Albany'!I16,Wheatland!I16,Wilton!I16,Brownsville!I16,Gleason!I16)</f>
        <v>11532.950557285567</v>
      </c>
      <c r="J17" s="122">
        <f>SUM(Caledonia!J16,'New Albany'!J16,Wheatland!J16,Wilton!J16,Brownsville!J16,Gleason!J16)</f>
        <v>11878.939074004131</v>
      </c>
      <c r="K17" s="122">
        <f>SUM(Caledonia!K16,'New Albany'!K16,Wheatland!K16,Wilton!K16,Brownsville!K16,Gleason!K16)</f>
        <v>12235.307246224258</v>
      </c>
      <c r="L17" s="122">
        <f>SUM(Caledonia!L16,'New Albany'!L16,Wheatland!L16,Wilton!L16,Brownsville!L16,Gleason!L16)</f>
        <v>12602.366463610986</v>
      </c>
      <c r="M17" s="122">
        <f>SUM(Caledonia!M16,'New Albany'!M16,Wheatland!M16,Wilton!M16,Brownsville!M16,Gleason!M16)</f>
        <v>12980.437457519312</v>
      </c>
      <c r="N17" s="122">
        <f>SUM(Caledonia!N16,'New Albany'!N16,Wheatland!N16,Wilton!N16,Brownsville!N16,Gleason!N16)</f>
        <v>13369.850581244891</v>
      </c>
      <c r="O17" s="122">
        <f>SUM(Caledonia!O16,'New Albany'!O16,Wheatland!O16,Wilton!O16,Brownsville!O16,Gleason!O16)</f>
        <v>13770.946098682238</v>
      </c>
      <c r="P17" s="122">
        <f>SUM(Caledonia!P16,'New Albany'!P16,Wheatland!P16,Wilton!P16,Brownsville!P16,Gleason!P16)</f>
        <v>14184.074481642707</v>
      </c>
      <c r="Q17" s="122">
        <f>SUM(Caledonia!Q16,'New Albany'!Q16,Wheatland!Q16,Wilton!Q16,Brownsville!Q16,Gleason!Q16)</f>
        <v>14609.596716091988</v>
      </c>
      <c r="R17" s="122">
        <f>SUM(Caledonia!R16,'New Albany'!R16,Wheatland!R16,Wilton!R16,Brownsville!R16,Gleason!R16)</f>
        <v>15047.884617574748</v>
      </c>
      <c r="S17" s="122">
        <f>SUM(Caledonia!S16,'New Albany'!S16,Wheatland!S16,Wilton!S16,Brownsville!S16,Gleason!S16)</f>
        <v>15499.321156101989</v>
      </c>
      <c r="T17" s="122">
        <f>SUM(Caledonia!T16,'New Albany'!T16,Wheatland!T16,Wilton!T16,Brownsville!T16,Gleason!T16)</f>
        <v>15964.30079078505</v>
      </c>
      <c r="U17" s="122">
        <f>SUM(Caledonia!U16,'New Albany'!U16,Wheatland!U16,Wilton!U16,Brownsville!U16,Gleason!U16)</f>
        <v>16443.229814508602</v>
      </c>
      <c r="W17" s="446">
        <f>SUM(B17:U17)</f>
        <v>222988.31715145364</v>
      </c>
      <c r="X17" s="400">
        <f>SUM(Caledonia!W16,'New Albany'!W16,Wheatland!W16,Wilton!W16,Brownsville!W16,Gleason!W16)</f>
        <v>222988.31715145364</v>
      </c>
      <c r="Y17" s="400">
        <f>W17-X17</f>
        <v>0</v>
      </c>
    </row>
    <row r="18" spans="1:25">
      <c r="A18" s="3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W18" s="446"/>
      <c r="X18" s="400"/>
      <c r="Y18" s="400"/>
    </row>
    <row r="19" spans="1:25">
      <c r="A19" s="3" t="s">
        <v>167</v>
      </c>
      <c r="B19" s="146">
        <f>SUM(Caledonia!B18,'New Albany'!B18,Wheatland!B18,Wilton!B18,Brownsville!B18,Gleason!B18)</f>
        <v>1526.2226379747012</v>
      </c>
      <c r="C19" s="146">
        <f>SUM(Caledonia!C18,'New Albany'!C18,Wheatland!C18,Wilton!C18,Brownsville!C18,Gleason!C18)</f>
        <v>1519.0143721401485</v>
      </c>
      <c r="D19" s="146">
        <f>SUM(Caledonia!D18,'New Albany'!D18,Wheatland!D18,Wilton!D18,Brownsville!D18,Gleason!D18)</f>
        <v>1512.7014940276467</v>
      </c>
      <c r="E19" s="146">
        <f>SUM(Caledonia!E18,'New Albany'!E18,Wheatland!E18,Wilton!E18,Brownsville!E18,Gleason!E18)</f>
        <v>2575.8258649895652</v>
      </c>
      <c r="F19" s="146">
        <f>SUM(Caledonia!F18,'New Albany'!F18,Wheatland!F18,Wilton!F18,Brownsville!F18,Gleason!F18)</f>
        <v>2710.757883821565</v>
      </c>
      <c r="G19" s="146">
        <f>SUM(Caledonia!G18,'New Albany'!G18,Wheatland!G18,Wilton!G18,Brownsville!G18,Gleason!G18)</f>
        <v>2749.9764082846418</v>
      </c>
      <c r="H19" s="146">
        <f>SUM(Caledonia!H18,'New Albany'!H18,Wheatland!H18,Wilton!H18,Brownsville!H18,Gleason!H18)</f>
        <v>2790.4508104332863</v>
      </c>
      <c r="I19" s="146">
        <f>SUM(Caledonia!I18,'New Albany'!I18,Wheatland!I18,Wilton!I18,Brownsville!I18,Gleason!I18)</f>
        <v>2832.2436307928142</v>
      </c>
      <c r="J19" s="146">
        <f>SUM(Caledonia!J18,'New Albany'!J18,Wheatland!J18,Wilton!J18,Brownsville!J18,Gleason!J18)</f>
        <v>2876.1897047897064</v>
      </c>
      <c r="K19" s="146">
        <f>SUM(Caledonia!K18,'New Albany'!K18,Wheatland!K18,Wilton!K18,Brownsville!K18,Gleason!K18)</f>
        <v>2909.6596584768963</v>
      </c>
      <c r="L19" s="146">
        <f>SUM(Caledonia!L18,'New Albany'!L18,Wheatland!L18,Wilton!L18,Brownsville!L18,Gleason!L18)</f>
        <v>2964.1341089175585</v>
      </c>
      <c r="M19" s="146">
        <f>SUM(Caledonia!M18,'New Albany'!M18,Wheatland!M18,Wilton!M18,Brownsville!M18,Gleason!M18)</f>
        <v>3021.8613596624223</v>
      </c>
      <c r="N19" s="146">
        <f>SUM(Caledonia!N18,'New Albany'!N18,Wheatland!N18,Wilton!N18,Brownsville!N18,Gleason!N18)</f>
        <v>3074.2739315240583</v>
      </c>
      <c r="O19" s="146">
        <f>SUM(Caledonia!O18,'New Albany'!O18,Wheatland!O18,Wilton!O18,Brownsville!O18,Gleason!O18)</f>
        <v>3128.7378038029524</v>
      </c>
      <c r="P19" s="146">
        <f>SUM(Caledonia!P18,'New Albany'!P18,Wheatland!P18,Wilton!P18,Brownsville!P18,Gleason!P18)</f>
        <v>3177.9891902355657</v>
      </c>
      <c r="Q19" s="146">
        <f>SUM(Caledonia!Q18,'New Albany'!Q18,Wheatland!Q18,Wilton!Q18,Brownsville!Q18,Gleason!Q18)</f>
        <v>3229.1674628403593</v>
      </c>
      <c r="R19" s="146">
        <f>SUM(Caledonia!R18,'New Albany'!R18,Wheatland!R18,Wilton!R18,Brownsville!R18,Gleason!R18)</f>
        <v>3273.4882014005179</v>
      </c>
      <c r="S19" s="146">
        <f>SUM(Caledonia!S18,'New Albany'!S18,Wheatland!S18,Wilton!S18,Brownsville!S18,Gleason!S18)</f>
        <v>3318.3218661008859</v>
      </c>
      <c r="T19" s="146">
        <f>SUM(Caledonia!T18,'New Albany'!T18,Wheatland!T18,Wilton!T18,Brownsville!T18,Gleason!T18)</f>
        <v>3363.6721383669073</v>
      </c>
      <c r="U19" s="146">
        <f>SUM(Caledonia!U18,'New Albany'!U18,Wheatland!U18,Wilton!U18,Brownsville!U18,Gleason!U18)</f>
        <v>3409.6583696949938</v>
      </c>
      <c r="W19" s="446">
        <f>SUM(B19:U19)</f>
        <v>55964.346898277196</v>
      </c>
      <c r="X19" s="400">
        <f>SUM(Caledonia!W18,'New Albany'!W18,Wheatland!W18,Wilton!W18,Brownsville!W18,Gleason!W18)</f>
        <v>55964.346898277181</v>
      </c>
      <c r="Y19" s="400">
        <f>W19-X19</f>
        <v>0</v>
      </c>
    </row>
    <row r="20" spans="1:25">
      <c r="A20" s="3" t="s">
        <v>60</v>
      </c>
      <c r="B20" s="122">
        <f t="shared" ref="B20:U20" si="3">SUM(B10:B19)</f>
        <v>205455.33572424721</v>
      </c>
      <c r="C20" s="122">
        <f t="shared" si="3"/>
        <v>205792.79278437878</v>
      </c>
      <c r="D20" s="122">
        <f t="shared" si="3"/>
        <v>206141.48519201143</v>
      </c>
      <c r="E20" s="122">
        <f t="shared" si="3"/>
        <v>238931.41884252414</v>
      </c>
      <c r="F20" s="122">
        <f t="shared" si="3"/>
        <v>250585.19208803301</v>
      </c>
      <c r="G20" s="122">
        <f t="shared" si="3"/>
        <v>254660.67648973136</v>
      </c>
      <c r="H20" s="122">
        <f t="shared" si="3"/>
        <v>258808.29437072275</v>
      </c>
      <c r="I20" s="122">
        <f t="shared" si="3"/>
        <v>263029.45702175441</v>
      </c>
      <c r="J20" s="122">
        <f t="shared" si="3"/>
        <v>267326.37581546541</v>
      </c>
      <c r="K20" s="122">
        <f t="shared" si="3"/>
        <v>271687.82631848147</v>
      </c>
      <c r="L20" s="122">
        <f t="shared" si="3"/>
        <v>276734.45070385723</v>
      </c>
      <c r="M20" s="122">
        <f t="shared" si="3"/>
        <v>281880.20310978882</v>
      </c>
      <c r="N20" s="122">
        <f t="shared" si="3"/>
        <v>287118.42382146651</v>
      </c>
      <c r="O20" s="122">
        <f t="shared" si="3"/>
        <v>292458.42608797015</v>
      </c>
      <c r="P20" s="122">
        <f t="shared" si="3"/>
        <v>297894.93375446572</v>
      </c>
      <c r="Q20" s="122">
        <f t="shared" si="3"/>
        <v>302484.10713174701</v>
      </c>
      <c r="R20" s="122">
        <f t="shared" si="3"/>
        <v>307139.54449311423</v>
      </c>
      <c r="S20" s="122">
        <f t="shared" si="3"/>
        <v>311869.88609776157</v>
      </c>
      <c r="T20" s="122">
        <f t="shared" si="3"/>
        <v>316676.42996102234</v>
      </c>
      <c r="U20" s="122">
        <f t="shared" si="3"/>
        <v>321560.61484001327</v>
      </c>
      <c r="W20" s="446">
        <f>SUM(B20:U20)</f>
        <v>5418235.8746485561</v>
      </c>
      <c r="X20" s="400">
        <f>SUM(Caledonia!W19,'New Albany'!W19,Wheatland!W19,Wilton!W19,Brownsville!W19,Gleason!W19)</f>
        <v>5418235.874648557</v>
      </c>
      <c r="Y20" s="400">
        <f>W20-X20</f>
        <v>0</v>
      </c>
    </row>
    <row r="21" spans="1:25">
      <c r="A21" s="3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W21" s="446"/>
      <c r="X21" s="44"/>
      <c r="Y21" s="44"/>
    </row>
    <row r="22" spans="1:25">
      <c r="A22" s="1" t="s">
        <v>61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W22" s="446"/>
      <c r="X22" s="44"/>
      <c r="Y22" s="44"/>
    </row>
    <row r="23" spans="1:25">
      <c r="A23" s="3" t="s">
        <v>48</v>
      </c>
      <c r="B23" s="122">
        <f>SUM(Caledonia!B22,'New Albany'!B22,Wheatland!B22,Wilton!B22,Brownsville!B22,Gleason!B22)</f>
        <v>9650.9069691714285</v>
      </c>
      <c r="C23" s="122">
        <f>SUM(Caledonia!C22,'New Albany'!C22,Wheatland!C22,Wilton!C22,Brownsville!C22,Gleason!C22)</f>
        <v>9940.4341782465726</v>
      </c>
      <c r="D23" s="122">
        <f>SUM(Caledonia!D22,'New Albany'!D22,Wheatland!D22,Wilton!D22,Brownsville!D22,Gleason!D22)</f>
        <v>10238.64720359397</v>
      </c>
      <c r="E23" s="122">
        <f>SUM(Caledonia!E22,'New Albany'!E22,Wheatland!E22,Wilton!E22,Brownsville!E22,Gleason!E22)</f>
        <v>10545.806619701789</v>
      </c>
      <c r="F23" s="122">
        <f>SUM(Caledonia!F22,'New Albany'!F22,Wheatland!F22,Wilton!F22,Brownsville!F22,Gleason!F22)</f>
        <v>10862.180818292843</v>
      </c>
      <c r="G23" s="122">
        <f>SUM(Caledonia!G22,'New Albany'!G22,Wheatland!G22,Wilton!G22,Brownsville!G22,Gleason!G22)</f>
        <v>11188.046242841629</v>
      </c>
      <c r="H23" s="122">
        <f>SUM(Caledonia!H22,'New Albany'!H22,Wheatland!H22,Wilton!H22,Brownsville!H22,Gleason!H22)</f>
        <v>11523.687630126879</v>
      </c>
      <c r="I23" s="122">
        <f>SUM(Caledonia!I22,'New Albany'!I22,Wheatland!I22,Wilton!I22,Brownsville!I22,Gleason!I22)</f>
        <v>11869.398259030686</v>
      </c>
      <c r="J23" s="122">
        <f>SUM(Caledonia!J22,'New Albany'!J22,Wheatland!J22,Wilton!J22,Brownsville!J22,Gleason!J22)</f>
        <v>12225.480206801605</v>
      </c>
      <c r="K23" s="122">
        <f>SUM(Caledonia!K22,'New Albany'!K22,Wheatland!K22,Wilton!K22,Brownsville!K22,Gleason!K22)</f>
        <v>12592.244613005654</v>
      </c>
      <c r="L23" s="122">
        <f>SUM(Caledonia!L22,'New Albany'!L22,Wheatland!L22,Wilton!L22,Brownsville!L22,Gleason!L22)</f>
        <v>12970.011951395823</v>
      </c>
      <c r="M23" s="122">
        <f>SUM(Caledonia!M22,'New Albany'!M22,Wheatland!M22,Wilton!M22,Brownsville!M22,Gleason!M22)</f>
        <v>13359.1123099377</v>
      </c>
      <c r="N23" s="122">
        <f>SUM(Caledonia!N22,'New Albany'!N22,Wheatland!N22,Wilton!N22,Brownsville!N22,Gleason!N22)</f>
        <v>13759.885679235831</v>
      </c>
      <c r="O23" s="122">
        <f>SUM(Caledonia!O22,'New Albany'!O22,Wheatland!O22,Wilton!O22,Brownsville!O22,Gleason!O22)</f>
        <v>14172.682249612908</v>
      </c>
      <c r="P23" s="122">
        <f>SUM(Caledonia!P22,'New Albany'!P22,Wheatland!P22,Wilton!P22,Brownsville!P22,Gleason!P22)</f>
        <v>14597.862717101296</v>
      </c>
      <c r="Q23" s="122">
        <f>SUM(Caledonia!Q22,'New Albany'!Q22,Wheatland!Q22,Wilton!Q22,Brownsville!Q22,Gleason!Q22)</f>
        <v>15035.798598614334</v>
      </c>
      <c r="R23" s="122">
        <f>SUM(Caledonia!R22,'New Albany'!R22,Wheatland!R22,Wilton!R22,Brownsville!R22,Gleason!R22)</f>
        <v>15486.872556572765</v>
      </c>
      <c r="S23" s="122">
        <f>SUM(Caledonia!S22,'New Albany'!S22,Wheatland!S22,Wilton!S22,Brownsville!S22,Gleason!S22)</f>
        <v>15951.478733269949</v>
      </c>
      <c r="T23" s="122">
        <f>SUM(Caledonia!T22,'New Albany'!T22,Wheatland!T22,Wilton!T22,Brownsville!T22,Gleason!T22)</f>
        <v>16430.023095268047</v>
      </c>
      <c r="U23" s="122">
        <f>SUM(Caledonia!U22,'New Albany'!U22,Wheatland!U22,Wilton!U22,Brownsville!U22,Gleason!U22)</f>
        <v>16922.923788126089</v>
      </c>
      <c r="W23" s="446">
        <f t="shared" ref="W23:W29" si="4">SUM(B23:U23)</f>
        <v>259323.48441994784</v>
      </c>
      <c r="X23" s="400">
        <f>SUM(Caledonia!W22,'New Albany'!W22,Wheatland!W22,Wilton!W22,Brownsville!W22,Gleason!W22)</f>
        <v>259323.48441994775</v>
      </c>
      <c r="Y23" s="400">
        <f t="shared" ref="Y23:Y29" si="5">W23-X23</f>
        <v>0</v>
      </c>
    </row>
    <row r="24" spans="1:25">
      <c r="A24" s="3" t="s">
        <v>49</v>
      </c>
      <c r="B24" s="122">
        <f>SUM(Caledonia!B23,'New Albany'!B23,Wheatland!B23,Wilton!B23,Brownsville!B23,Gleason!B23)</f>
        <v>8321.5941988714949</v>
      </c>
      <c r="C24" s="122">
        <f>SUM(Caledonia!C23,'New Albany'!C23,Wheatland!C23,Wilton!C23,Brownsville!C23,Gleason!C23)</f>
        <v>8571.2420248376402</v>
      </c>
      <c r="D24" s="122">
        <f>SUM(Caledonia!D23,'New Albany'!D23,Wheatland!D23,Wilton!D23,Brownsville!D23,Gleason!D23)</f>
        <v>8828.3792855827705</v>
      </c>
      <c r="E24" s="122">
        <f>SUM(Caledonia!E23,'New Albany'!E23,Wheatland!E23,Wilton!E23,Brownsville!E23,Gleason!E23)</f>
        <v>9093.230664150251</v>
      </c>
      <c r="F24" s="122">
        <f>SUM(Caledonia!F23,'New Albany'!F23,Wheatland!F23,Wilton!F23,Brownsville!F23,Gleason!F23)</f>
        <v>9366.0275840747599</v>
      </c>
      <c r="G24" s="122">
        <f>SUM(Caledonia!G23,'New Albany'!G23,Wheatland!G23,Wilton!G23,Brownsville!G23,Gleason!G23)</f>
        <v>9647.0084115970021</v>
      </c>
      <c r="H24" s="122">
        <f>SUM(Caledonia!H23,'New Albany'!H23,Wheatland!H23,Wilton!H23,Brownsville!H23,Gleason!H23)</f>
        <v>9936.4186639449144</v>
      </c>
      <c r="I24" s="122">
        <f>SUM(Caledonia!I23,'New Albany'!I23,Wheatland!I23,Wilton!I23,Brownsville!I23,Gleason!I23)</f>
        <v>10234.511223863259</v>
      </c>
      <c r="J24" s="122">
        <f>SUM(Caledonia!J23,'New Albany'!J23,Wheatland!J23,Wilton!J23,Brownsville!J23,Gleason!J23)</f>
        <v>10541.546560579156</v>
      </c>
      <c r="K24" s="122">
        <f>SUM(Caledonia!K23,'New Albany'!K23,Wheatland!K23,Wilton!K23,Brownsville!K23,Gleason!K23)</f>
        <v>10857.792957396532</v>
      </c>
      <c r="L24" s="122">
        <f>SUM(Caledonia!L23,'New Albany'!L23,Wheatland!L23,Wilton!L23,Brownsville!L23,Gleason!L23)</f>
        <v>11183.526746118427</v>
      </c>
      <c r="M24" s="122">
        <f>SUM(Caledonia!M23,'New Albany'!M23,Wheatland!M23,Wilton!M23,Brownsville!M23,Gleason!M23)</f>
        <v>11519.032548501978</v>
      </c>
      <c r="N24" s="122">
        <f>SUM(Caledonia!N23,'New Albany'!N23,Wheatland!N23,Wilton!N23,Brownsville!N23,Gleason!N23)</f>
        <v>11864.603524957038</v>
      </c>
      <c r="O24" s="122">
        <f>SUM(Caledonia!O23,'New Albany'!O23,Wheatland!O23,Wilton!O23,Brownsville!O23,Gleason!O23)</f>
        <v>12220.541630705749</v>
      </c>
      <c r="P24" s="122">
        <f>SUM(Caledonia!P23,'New Albany'!P23,Wheatland!P23,Wilton!P23,Brownsville!P23,Gleason!P23)</f>
        <v>12587.157879626926</v>
      </c>
      <c r="Q24" s="122">
        <f>SUM(Caledonia!Q23,'New Albany'!Q23,Wheatland!Q23,Wilton!Q23,Brownsville!Q23,Gleason!Q23)</f>
        <v>12964.772616015729</v>
      </c>
      <c r="R24" s="122">
        <f>SUM(Caledonia!R23,'New Albany'!R23,Wheatland!R23,Wilton!R23,Brownsville!R23,Gleason!R23)</f>
        <v>13353.715794496202</v>
      </c>
      <c r="S24" s="122">
        <f>SUM(Caledonia!S23,'New Albany'!S23,Wheatland!S23,Wilton!S23,Brownsville!S23,Gleason!S23)</f>
        <v>13754.327268331088</v>
      </c>
      <c r="T24" s="122">
        <f>SUM(Caledonia!T23,'New Albany'!T23,Wheatland!T23,Wilton!T23,Brownsville!T23,Gleason!T23)</f>
        <v>14166.957086381019</v>
      </c>
      <c r="U24" s="122">
        <f>SUM(Caledonia!U23,'New Albany'!U23,Wheatland!U23,Wilton!U23,Brownsville!U23,Gleason!U23)</f>
        <v>14591.965798972453</v>
      </c>
      <c r="W24" s="446">
        <f t="shared" si="4"/>
        <v>223604.35246900437</v>
      </c>
      <c r="X24" s="400">
        <f>SUM(Caledonia!W23,'New Albany'!W23,Wheatland!W23,Wilton!W23,Brownsville!W23,Gleason!W23)</f>
        <v>223604.3524690044</v>
      </c>
      <c r="Y24" s="400">
        <f t="shared" si="5"/>
        <v>0</v>
      </c>
    </row>
    <row r="25" spans="1:25">
      <c r="A25" s="3" t="s">
        <v>256</v>
      </c>
      <c r="B25" s="122">
        <f>SUM(Caledonia!B24,'New Albany'!B24,Wheatland!B24,Wilton!B24,Brownsville!B24,Gleason!B24)</f>
        <v>3167.25</v>
      </c>
      <c r="C25" s="122">
        <f>SUM(Caledonia!C24,'New Albany'!C24,Wheatland!C24,Wilton!C24,Brownsville!C24,Gleason!C24)</f>
        <v>3262.2675000000004</v>
      </c>
      <c r="D25" s="122">
        <f>SUM(Caledonia!D24,'New Albany'!D24,Wheatland!D24,Wilton!D24,Brownsville!D24,Gleason!D24)</f>
        <v>3360.1355250000001</v>
      </c>
      <c r="E25" s="122">
        <f>SUM(Caledonia!E24,'New Albany'!E24,Wheatland!E24,Wilton!E24,Brownsville!E24,Gleason!E24)</f>
        <v>3460.9395907500002</v>
      </c>
      <c r="F25" s="122">
        <f>SUM(Caledonia!F24,'New Albany'!F24,Wheatland!F24,Wilton!F24,Brownsville!F24,Gleason!F24)</f>
        <v>3564.7677784725006</v>
      </c>
      <c r="G25" s="122">
        <f>SUM(Caledonia!G24,'New Albany'!G24,Wheatland!G24,Wilton!G24,Brownsville!G24,Gleason!G24)</f>
        <v>3671.7108118266756</v>
      </c>
      <c r="H25" s="122">
        <f>SUM(Caledonia!H24,'New Albany'!H24,Wheatland!H24,Wilton!H24,Brownsville!H24,Gleason!H24)</f>
        <v>3781.8621361814762</v>
      </c>
      <c r="I25" s="122">
        <f>SUM(Caledonia!I24,'New Albany'!I24,Wheatland!I24,Wilton!I24,Brownsville!I24,Gleason!I24)</f>
        <v>3895.318000266921</v>
      </c>
      <c r="J25" s="122">
        <f>SUM(Caledonia!J24,'New Albany'!J24,Wheatland!J24,Wilton!J24,Brownsville!J24,Gleason!J24)</f>
        <v>4012.1775402749286</v>
      </c>
      <c r="K25" s="122">
        <f>SUM(Caledonia!K24,'New Albany'!K24,Wheatland!K24,Wilton!K24,Brownsville!K24,Gleason!K24)</f>
        <v>4132.5428664831761</v>
      </c>
      <c r="L25" s="122">
        <f>SUM(Caledonia!L24,'New Albany'!L24,Wheatland!L24,Wilton!L24,Brownsville!L24,Gleason!L24)</f>
        <v>4256.519152477671</v>
      </c>
      <c r="M25" s="122">
        <f>SUM(Caledonia!M24,'New Albany'!M24,Wheatland!M24,Wilton!M24,Brownsville!M24,Gleason!M24)</f>
        <v>4384.2147270520009</v>
      </c>
      <c r="N25" s="122">
        <f>SUM(Caledonia!N24,'New Albany'!N24,Wheatland!N24,Wilton!N24,Brownsville!N24,Gleason!N24)</f>
        <v>4515.7411688635621</v>
      </c>
      <c r="O25" s="122">
        <f>SUM(Caledonia!O24,'New Albany'!O24,Wheatland!O24,Wilton!O24,Brownsville!O24,Gleason!O24)</f>
        <v>4651.2134039294688</v>
      </c>
      <c r="P25" s="122">
        <f>SUM(Caledonia!P24,'New Albany'!P24,Wheatland!P24,Wilton!P24,Brownsville!P24,Gleason!P24)</f>
        <v>4790.7498060473536</v>
      </c>
      <c r="Q25" s="122">
        <f>SUM(Caledonia!Q24,'New Albany'!Q24,Wheatland!Q24,Wilton!Q24,Brownsville!Q24,Gleason!Q24)</f>
        <v>4934.4723002287737</v>
      </c>
      <c r="R25" s="122">
        <f>SUM(Caledonia!R24,'New Albany'!R24,Wheatland!R24,Wilton!R24,Brownsville!R24,Gleason!R24)</f>
        <v>5082.5064692356373</v>
      </c>
      <c r="S25" s="122">
        <f>SUM(Caledonia!S24,'New Albany'!S24,Wheatland!S24,Wilton!S24,Brownsville!S24,Gleason!S24)</f>
        <v>5234.9816633127057</v>
      </c>
      <c r="T25" s="122">
        <f>SUM(Caledonia!T24,'New Albany'!T24,Wheatland!T24,Wilton!T24,Brownsville!T24,Gleason!T24)</f>
        <v>5392.0311132120878</v>
      </c>
      <c r="U25" s="122">
        <f>SUM(Caledonia!U24,'New Albany'!U24,Wheatland!U24,Wilton!U24,Brownsville!U24,Gleason!U24)</f>
        <v>5553.7920466084506</v>
      </c>
      <c r="W25" s="446">
        <f t="shared" si="4"/>
        <v>85105.193600223385</v>
      </c>
      <c r="X25" s="400">
        <f>SUM(Caledonia!W24,'New Albany'!W24,Wheatland!W24,Wilton!W24,Brownsville!W24,Gleason!W24)</f>
        <v>85105.193600223371</v>
      </c>
      <c r="Y25" s="400">
        <f t="shared" si="5"/>
        <v>0</v>
      </c>
    </row>
    <row r="26" spans="1:25">
      <c r="A26" s="3" t="s">
        <v>112</v>
      </c>
      <c r="B26" s="122">
        <f>SUM(Caledonia!B25,'New Albany'!B25,Wheatland!B25,Wilton!B25,Brownsville!B25,Gleason!B25)</f>
        <v>2301.5906199999999</v>
      </c>
      <c r="C26" s="122">
        <f>SUM(Caledonia!C25,'New Albany'!C25,Wheatland!C25,Wilton!C25,Brownsville!C25,Gleason!C25)</f>
        <v>2370.6383386000002</v>
      </c>
      <c r="D26" s="122">
        <f>SUM(Caledonia!D25,'New Albany'!D25,Wheatland!D25,Wilton!D25,Brownsville!D25,Gleason!D25)</f>
        <v>2441.7574887579999</v>
      </c>
      <c r="E26" s="122">
        <f>SUM(Caledonia!E25,'New Albany'!E25,Wheatland!E25,Wilton!E25,Brownsville!E25,Gleason!E25)</f>
        <v>2515.01021342074</v>
      </c>
      <c r="F26" s="122">
        <f>SUM(Caledonia!F25,'New Albany'!F25,Wheatland!F25,Wilton!F25,Brownsville!F25,Gleason!F25)</f>
        <v>2590.4605198233621</v>
      </c>
      <c r="G26" s="122">
        <f>SUM(Caledonia!G25,'New Albany'!G25,Wheatland!G25,Wilton!G25,Brownsville!G25,Gleason!G25)</f>
        <v>2668.1743354180635</v>
      </c>
      <c r="H26" s="122">
        <f>SUM(Caledonia!H25,'New Albany'!H25,Wheatland!H25,Wilton!H25,Brownsville!H25,Gleason!H25)</f>
        <v>2748.2195654806055</v>
      </c>
      <c r="I26" s="122">
        <f>SUM(Caledonia!I25,'New Albany'!I25,Wheatland!I25,Wilton!I25,Brownsville!I25,Gleason!I25)</f>
        <v>2830.6661524450237</v>
      </c>
      <c r="J26" s="122">
        <f>SUM(Caledonia!J25,'New Albany'!J25,Wheatland!J25,Wilton!J25,Brownsville!J25,Gleason!J25)</f>
        <v>2915.5861370183743</v>
      </c>
      <c r="K26" s="122">
        <f>SUM(Caledonia!K25,'New Albany'!K25,Wheatland!K25,Wilton!K25,Brownsville!K25,Gleason!K25)</f>
        <v>3003.0537211289256</v>
      </c>
      <c r="L26" s="122">
        <f>SUM(Caledonia!L25,'New Albany'!L25,Wheatland!L25,Wilton!L25,Brownsville!L25,Gleason!L25)</f>
        <v>3093.1453327627933</v>
      </c>
      <c r="M26" s="122">
        <f>SUM(Caledonia!M25,'New Albany'!M25,Wheatland!M25,Wilton!M25,Brownsville!M25,Gleason!M25)</f>
        <v>3185.9396927456773</v>
      </c>
      <c r="N26" s="122">
        <f>SUM(Caledonia!N25,'New Albany'!N25,Wheatland!N25,Wilton!N25,Brownsville!N25,Gleason!N25)</f>
        <v>3281.5178835280476</v>
      </c>
      <c r="O26" s="122">
        <f>SUM(Caledonia!O25,'New Albany'!O25,Wheatland!O25,Wilton!O25,Brownsville!O25,Gleason!O25)</f>
        <v>3379.9634200338892</v>
      </c>
      <c r="P26" s="122">
        <f>SUM(Caledonia!P25,'New Albany'!P25,Wheatland!P25,Wilton!P25,Brownsville!P25,Gleason!P25)</f>
        <v>3481.3623226349059</v>
      </c>
      <c r="Q26" s="122">
        <f>SUM(Caledonia!Q25,'New Albany'!Q25,Wheatland!Q25,Wilton!Q25,Brownsville!Q25,Gleason!Q25)</f>
        <v>3585.8031923139529</v>
      </c>
      <c r="R26" s="122">
        <f>SUM(Caledonia!R25,'New Albany'!R25,Wheatland!R25,Wilton!R25,Brownsville!R25,Gleason!R25)</f>
        <v>3693.3772880833722</v>
      </c>
      <c r="S26" s="122">
        <f>SUM(Caledonia!S25,'New Albany'!S25,Wheatland!S25,Wilton!S25,Brownsville!S25,Gleason!S25)</f>
        <v>3804.1786067258731</v>
      </c>
      <c r="T26" s="122">
        <f>SUM(Caledonia!T25,'New Albany'!T25,Wheatland!T25,Wilton!T25,Brownsville!T25,Gleason!T25)</f>
        <v>3918.3039649276493</v>
      </c>
      <c r="U26" s="122">
        <f>SUM(Caledonia!U25,'New Albany'!U25,Wheatland!U25,Wilton!U25,Brownsville!U25,Gleason!U25)</f>
        <v>4035.8530838754791</v>
      </c>
      <c r="W26" s="446">
        <f t="shared" si="4"/>
        <v>61844.601879724731</v>
      </c>
      <c r="X26" s="400">
        <f>SUM(Caledonia!W25,'New Albany'!W25,Wheatland!W25,Wilton!W25,Brownsville!W25,Gleason!W25)</f>
        <v>61844.601879724731</v>
      </c>
      <c r="Y26" s="400">
        <f t="shared" si="5"/>
        <v>0</v>
      </c>
    </row>
    <row r="27" spans="1:25" ht="14.25" customHeight="1">
      <c r="A27" s="3" t="s">
        <v>197</v>
      </c>
      <c r="B27" s="122">
        <f>SUM(Caledonia!B26,'New Albany'!B26,Wheatland!B26,Wilton!B26,Brownsville!B26,Gleason!B26)</f>
        <v>2138.7599999999998</v>
      </c>
      <c r="C27" s="122">
        <f>SUM(Caledonia!C26,'New Albany'!C26,Wheatland!C26,Wilton!C26,Brownsville!C26,Gleason!C26)</f>
        <v>2485.4070000000002</v>
      </c>
      <c r="D27" s="122">
        <f>SUM(Caledonia!D26,'New Albany'!D26,Wheatland!D26,Wilton!D26,Brownsville!D26,Gleason!D26)</f>
        <v>2675.4930000000004</v>
      </c>
      <c r="E27" s="122">
        <f>SUM(Caledonia!E26,'New Albany'!E26,Wheatland!E26,Wilton!E26,Brownsville!E26,Gleason!E26)</f>
        <v>2752.7350000000001</v>
      </c>
      <c r="F27" s="122">
        <f>SUM(Caledonia!F26,'New Albany'!F26,Wheatland!F26,Wilton!F26,Brownsville!F26,Gleason!F26)</f>
        <v>2800.4010000000003</v>
      </c>
      <c r="G27" s="122">
        <f>SUM(Caledonia!G26,'New Albany'!G26,Wheatland!G26,Wilton!G26,Brownsville!G26,Gleason!G26)</f>
        <v>3000.837</v>
      </c>
      <c r="H27" s="122">
        <f>SUM(Caledonia!H26,'New Albany'!H26,Wheatland!H26,Wilton!H26,Brownsville!H26,Gleason!H26)</f>
        <v>3133.239</v>
      </c>
      <c r="I27" s="122">
        <f>SUM(Caledonia!I26,'New Albany'!I26,Wheatland!I26,Wilton!I26,Brownsville!I26,Gleason!I26)</f>
        <v>3204.1120000000001</v>
      </c>
      <c r="J27" s="122">
        <f>SUM(Caledonia!J26,'New Albany'!J26,Wheatland!J26,Wilton!J26,Brownsville!J26,Gleason!J26)</f>
        <v>3150.1800000000003</v>
      </c>
      <c r="K27" s="122">
        <f>SUM(Caledonia!K26,'New Albany'!K26,Wheatland!K26,Wilton!K26,Brownsville!K26,Gleason!K26)</f>
        <v>3985.1379999999999</v>
      </c>
      <c r="L27" s="122">
        <f>SUM(Caledonia!L26,'New Albany'!L26,Wheatland!L26,Wilton!L26,Brownsville!L26,Gleason!L26)</f>
        <v>3774.3130000000001</v>
      </c>
      <c r="M27" s="122">
        <f>SUM(Caledonia!M26,'New Albany'!M26,Wheatland!M26,Wilton!M26,Brownsville!M26,Gleason!M26)</f>
        <v>3371.88</v>
      </c>
      <c r="N27" s="122">
        <f>SUM(Caledonia!N26,'New Albany'!N26,Wheatland!N26,Wilton!N26,Brownsville!N26,Gleason!N26)</f>
        <v>3464.7</v>
      </c>
      <c r="O27" s="122">
        <f>SUM(Caledonia!O26,'New Albany'!O26,Wheatland!O26,Wilton!O26,Brownsville!O26,Gleason!O26)</f>
        <v>3464.7</v>
      </c>
      <c r="P27" s="122">
        <f>SUM(Caledonia!P26,'New Albany'!P26,Wheatland!P26,Wilton!P26,Brownsville!P26,Gleason!P26)</f>
        <v>3953.498301179623</v>
      </c>
      <c r="Q27" s="122">
        <f>SUM(Caledonia!Q26,'New Albany'!Q26,Wheatland!Q26,Wilton!Q26,Brownsville!Q26,Gleason!Q26)</f>
        <v>3397.5323122032155</v>
      </c>
      <c r="R27" s="122">
        <f>SUM(Caledonia!R26,'New Albany'!R26,Wheatland!R26,Wilton!R26,Brownsville!R26,Gleason!R26)</f>
        <v>3421.1349584472796</v>
      </c>
      <c r="S27" s="122">
        <f>SUM(Caledonia!S26,'New Albany'!S26,Wheatland!S26,Wilton!S26,Brownsville!S26,Gleason!S26)</f>
        <v>3445.2096576162253</v>
      </c>
      <c r="T27" s="122">
        <f>SUM(Caledonia!T26,'New Albany'!T26,Wheatland!T26,Wilton!T26,Brownsville!T26,Gleason!T26)</f>
        <v>3469.7658507685501</v>
      </c>
      <c r="U27" s="122">
        <f>SUM(Caledonia!U26,'New Albany'!U26,Wheatland!U26,Wilton!U26,Brownsville!U26,Gleason!U26)</f>
        <v>3485.5551622965972</v>
      </c>
      <c r="W27" s="446">
        <f t="shared" si="4"/>
        <v>64574.591242511466</v>
      </c>
      <c r="X27" s="400">
        <f>SUM(Caledonia!W26,'New Albany'!W26,Wheatland!W26,Wilton!W26,Brownsville!W26,Gleason!W26)</f>
        <v>64574.591242511488</v>
      </c>
      <c r="Y27" s="400">
        <f t="shared" si="5"/>
        <v>0</v>
      </c>
    </row>
    <row r="28" spans="1:25">
      <c r="A28" s="3" t="s">
        <v>228</v>
      </c>
      <c r="B28" s="146">
        <f>SUM(Caledonia!B27,'New Albany'!B27,Wheatland!B27,Wilton!B27,Brownsville!B27,Gleason!B27)</f>
        <v>2194.931372852478</v>
      </c>
      <c r="C28" s="146">
        <f>SUM(Caledonia!C27,'New Albany'!C27,Wheatland!C27,Wilton!C27,Brownsville!C27,Gleason!C27)</f>
        <v>2066.3707119415567</v>
      </c>
      <c r="D28" s="146">
        <f>SUM(Caledonia!D27,'New Albany'!D27,Wheatland!D27,Wilton!D27,Brownsville!D27,Gleason!D27)</f>
        <v>2011.9827854363025</v>
      </c>
      <c r="E28" s="146">
        <f>SUM(Caledonia!E27,'New Albany'!E27,Wheatland!E27,Wilton!E27,Brownsville!E27,Gleason!E27)</f>
        <v>1921.8016903465718</v>
      </c>
      <c r="F28" s="146">
        <f>SUM(Caledonia!F27,'New Albany'!F27,Wheatland!F27,Wilton!F27,Brownsville!F27,Gleason!F27)</f>
        <v>1829.9657978228138</v>
      </c>
      <c r="G28" s="146">
        <f>SUM(Caledonia!G27,'New Albany'!G27,Wheatland!G27,Wilton!G27,Brownsville!G27,Gleason!G27)</f>
        <v>1736.8106169920109</v>
      </c>
      <c r="H28" s="146">
        <f>SUM(Caledonia!H27,'New Albany'!H27,Wheatland!H27,Wilton!H27,Brownsville!H27,Gleason!H27)</f>
        <v>1658.3517298927206</v>
      </c>
      <c r="I28" s="146">
        <f>SUM(Caledonia!I27,'New Albany'!I27,Wheatland!I27,Wilton!I27,Brownsville!I27,Gleason!I27)</f>
        <v>1583.7172919305756</v>
      </c>
      <c r="J28" s="146">
        <f>SUM(Caledonia!J27,'New Albany'!J27,Wheatland!J27,Wilton!J27,Brownsville!J27,Gleason!J27)</f>
        <v>1510.0392828251611</v>
      </c>
      <c r="K28" s="146">
        <f>SUM(Caledonia!K27,'New Albany'!K27,Wheatland!K27,Wilton!K27,Brownsville!K27,Gleason!K27)</f>
        <v>1434.6218238386236</v>
      </c>
      <c r="L28" s="146">
        <f>SUM(Caledonia!L27,'New Albany'!L27,Wheatland!L27,Wilton!L27,Brownsville!L27,Gleason!L27)</f>
        <v>1362.0716987803323</v>
      </c>
      <c r="M28" s="146">
        <f>SUM(Caledonia!M27,'New Albany'!M27,Wheatland!M27,Wilton!M27,Brownsville!M27,Gleason!M27)</f>
        <v>1289.2536988953159</v>
      </c>
      <c r="N28" s="146">
        <f>SUM(Caledonia!N27,'New Albany'!N27,Wheatland!N27,Wilton!N27,Brownsville!N27,Gleason!N27)</f>
        <v>1215.7871114333166</v>
      </c>
      <c r="O28" s="146">
        <f>SUM(Caledonia!O27,'New Albany'!O27,Wheatland!O27,Wilton!O27,Brownsville!O27,Gleason!O27)</f>
        <v>1141.563275649017</v>
      </c>
      <c r="P28" s="146">
        <f>SUM(Caledonia!P27,'New Albany'!P27,Wheatland!P27,Wilton!P27,Brownsville!P27,Gleason!P27)</f>
        <v>1067.1783187947913</v>
      </c>
      <c r="Q28" s="146">
        <f>SUM(Caledonia!Q27,'New Albany'!Q27,Wheatland!Q27,Wilton!Q27,Brownsville!Q27,Gleason!Q27)</f>
        <v>1003.1636223018961</v>
      </c>
      <c r="R28" s="146">
        <f>SUM(Caledonia!R27,'New Albany'!R27,Wheatland!R27,Wilton!R27,Brownsville!R27,Gleason!R27)</f>
        <v>949.39311283708071</v>
      </c>
      <c r="S28" s="146">
        <f>SUM(Caledonia!S27,'New Albany'!S27,Wheatland!S27,Wilton!S27,Brownsville!S27,Gleason!S27)</f>
        <v>895.63901433394176</v>
      </c>
      <c r="T28" s="146">
        <f>SUM(Caledonia!T27,'New Albany'!T27,Wheatland!T27,Wilton!T27,Brownsville!T27,Gleason!T27)</f>
        <v>841.9056427455032</v>
      </c>
      <c r="U28" s="146">
        <f>SUM(Caledonia!U27,'New Albany'!U27,Wheatland!U27,Wilton!U27,Brownsville!U27,Gleason!U27)</f>
        <v>788.19701483971039</v>
      </c>
      <c r="V28" s="91"/>
      <c r="W28" s="446">
        <f t="shared" si="4"/>
        <v>28502.745614489722</v>
      </c>
      <c r="X28" s="400">
        <f>SUM(Caledonia!W27,'New Albany'!W27,Wheatland!W27,Wilton!W27,Brownsville!W27,Gleason!W27)</f>
        <v>28502.745614489722</v>
      </c>
      <c r="Y28" s="400">
        <f t="shared" si="5"/>
        <v>0</v>
      </c>
    </row>
    <row r="29" spans="1:25">
      <c r="A29" s="3" t="s">
        <v>62</v>
      </c>
      <c r="B29" s="122">
        <f t="shared" ref="B29:U29" si="6">SUM(B23:B28)</f>
        <v>27775.0331608954</v>
      </c>
      <c r="C29" s="122">
        <f t="shared" si="6"/>
        <v>28696.359753625773</v>
      </c>
      <c r="D29" s="122">
        <f t="shared" si="6"/>
        <v>29556.395288371044</v>
      </c>
      <c r="E29" s="122">
        <f t="shared" si="6"/>
        <v>30289.523778369356</v>
      </c>
      <c r="F29" s="122">
        <f t="shared" si="6"/>
        <v>31013.803498486282</v>
      </c>
      <c r="G29" s="122">
        <f t="shared" si="6"/>
        <v>31912.587418675383</v>
      </c>
      <c r="H29" s="122">
        <f t="shared" si="6"/>
        <v>32781.778725626595</v>
      </c>
      <c r="I29" s="122">
        <f t="shared" si="6"/>
        <v>33617.722927536466</v>
      </c>
      <c r="J29" s="122">
        <f t="shared" si="6"/>
        <v>34355.009727499229</v>
      </c>
      <c r="K29" s="122">
        <f t="shared" si="6"/>
        <v>36005.393981852911</v>
      </c>
      <c r="L29" s="122">
        <f t="shared" si="6"/>
        <v>36639.587881535044</v>
      </c>
      <c r="M29" s="122">
        <f t="shared" si="6"/>
        <v>37109.432977132667</v>
      </c>
      <c r="N29" s="122">
        <f t="shared" si="6"/>
        <v>38102.235368017791</v>
      </c>
      <c r="O29" s="122">
        <f t="shared" si="6"/>
        <v>39030.663979931029</v>
      </c>
      <c r="P29" s="122">
        <f t="shared" si="6"/>
        <v>40477.8093453849</v>
      </c>
      <c r="Q29" s="122">
        <f t="shared" si="6"/>
        <v>40921.542641677894</v>
      </c>
      <c r="R29" s="122">
        <f t="shared" si="6"/>
        <v>41987.000179672337</v>
      </c>
      <c r="S29" s="122">
        <f t="shared" si="6"/>
        <v>43085.814943589779</v>
      </c>
      <c r="T29" s="122">
        <f t="shared" si="6"/>
        <v>44218.986753302845</v>
      </c>
      <c r="U29" s="122">
        <f t="shared" si="6"/>
        <v>45378.286894718774</v>
      </c>
      <c r="W29" s="446">
        <f t="shared" si="4"/>
        <v>722954.96922590153</v>
      </c>
      <c r="X29" s="400">
        <f>SUM(Caledonia!W28,'New Albany'!W28,Wheatland!W28,Wilton!W28,Brownsville!W28,Gleason!W28)</f>
        <v>722954.96922590164</v>
      </c>
      <c r="Y29" s="400">
        <f t="shared" si="5"/>
        <v>0</v>
      </c>
    </row>
    <row r="30" spans="1:25">
      <c r="A30" s="479"/>
      <c r="B30" s="371"/>
      <c r="C30" s="371"/>
      <c r="D30" s="371"/>
      <c r="E30" s="371"/>
      <c r="F30" s="371"/>
      <c r="G30" s="371"/>
      <c r="H30" s="371"/>
      <c r="I30" s="371"/>
      <c r="J30" s="371"/>
      <c r="K30" s="371"/>
      <c r="L30" s="371"/>
      <c r="M30" s="371"/>
      <c r="N30" s="371"/>
      <c r="O30" s="371"/>
      <c r="P30" s="371"/>
      <c r="Q30" s="371"/>
      <c r="R30" s="371"/>
      <c r="S30" s="371"/>
      <c r="T30" s="371"/>
      <c r="U30" s="371"/>
      <c r="W30" s="446"/>
      <c r="X30" s="44"/>
      <c r="Y30" s="44"/>
    </row>
    <row r="31" spans="1:25">
      <c r="A31" s="5"/>
      <c r="B31" s="372"/>
      <c r="C31" s="372"/>
      <c r="D31" s="372"/>
      <c r="E31" s="372"/>
      <c r="F31" s="372"/>
      <c r="G31" s="372"/>
      <c r="H31" s="372"/>
      <c r="I31" s="372"/>
      <c r="J31" s="372"/>
      <c r="K31" s="372"/>
      <c r="L31" s="372"/>
      <c r="M31" s="372"/>
      <c r="N31" s="372"/>
      <c r="O31" s="372"/>
      <c r="P31" s="372"/>
      <c r="Q31" s="372"/>
      <c r="R31" s="372"/>
      <c r="S31" s="372"/>
      <c r="T31" s="372"/>
      <c r="U31" s="372"/>
      <c r="W31" s="446"/>
      <c r="X31" s="44"/>
      <c r="Y31" s="44"/>
    </row>
    <row r="32" spans="1:25">
      <c r="A32" s="1" t="s">
        <v>63</v>
      </c>
      <c r="B32" s="197">
        <f t="shared" ref="B32:U32" si="7">B20-B29</f>
        <v>177680.30256335181</v>
      </c>
      <c r="C32" s="197">
        <f t="shared" si="7"/>
        <v>177096.43303075299</v>
      </c>
      <c r="D32" s="197">
        <f t="shared" si="7"/>
        <v>176585.08990364039</v>
      </c>
      <c r="E32" s="197">
        <f t="shared" si="7"/>
        <v>208641.89506415479</v>
      </c>
      <c r="F32" s="197">
        <f t="shared" si="7"/>
        <v>219571.38858954672</v>
      </c>
      <c r="G32" s="197">
        <f t="shared" si="7"/>
        <v>222748.08907105596</v>
      </c>
      <c r="H32" s="197">
        <f t="shared" si="7"/>
        <v>226026.51564509617</v>
      </c>
      <c r="I32" s="197">
        <f t="shared" si="7"/>
        <v>229411.73409421794</v>
      </c>
      <c r="J32" s="197">
        <f t="shared" si="7"/>
        <v>232971.36608796619</v>
      </c>
      <c r="K32" s="197">
        <f t="shared" si="7"/>
        <v>235682.43233662855</v>
      </c>
      <c r="L32" s="197">
        <f t="shared" si="7"/>
        <v>240094.86282232217</v>
      </c>
      <c r="M32" s="197">
        <f t="shared" si="7"/>
        <v>244770.77013265615</v>
      </c>
      <c r="N32" s="197">
        <f t="shared" si="7"/>
        <v>249016.1884534487</v>
      </c>
      <c r="O32" s="197">
        <f t="shared" si="7"/>
        <v>253427.76210803911</v>
      </c>
      <c r="P32" s="197">
        <f t="shared" si="7"/>
        <v>257417.12440908083</v>
      </c>
      <c r="Q32" s="197">
        <f t="shared" si="7"/>
        <v>261562.56449006911</v>
      </c>
      <c r="R32" s="197">
        <f t="shared" si="7"/>
        <v>265152.5443134419</v>
      </c>
      <c r="S32" s="197">
        <f t="shared" si="7"/>
        <v>268784.07115417178</v>
      </c>
      <c r="T32" s="197">
        <f t="shared" si="7"/>
        <v>272457.44320771948</v>
      </c>
      <c r="U32" s="197">
        <f t="shared" si="7"/>
        <v>276182.3279452945</v>
      </c>
      <c r="W32" s="446">
        <f>SUM(B32:U32)</f>
        <v>4695280.9054226549</v>
      </c>
      <c r="X32" s="400">
        <f>SUM(Caledonia!W31,'New Albany'!W31,Wheatland!W31,Wilton!W31,Brownsville!W31,Gleason!W31)</f>
        <v>4695280.9054226549</v>
      </c>
      <c r="Y32" s="400">
        <f>W32-X32</f>
        <v>0</v>
      </c>
    </row>
    <row r="33" spans="1:25">
      <c r="A33" s="1"/>
      <c r="B33" s="371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1"/>
      <c r="N33" s="371"/>
      <c r="O33" s="371"/>
      <c r="P33" s="371"/>
      <c r="Q33" s="371"/>
      <c r="R33" s="371"/>
      <c r="S33" s="371"/>
      <c r="T33" s="371"/>
      <c r="U33" s="371"/>
      <c r="W33" s="446"/>
      <c r="X33" s="44"/>
      <c r="Y33" s="44"/>
    </row>
    <row r="34" spans="1:25">
      <c r="A34" s="3" t="s">
        <v>64</v>
      </c>
      <c r="B34" s="122">
        <f>Depreciation!C58</f>
        <v>44225.064199866087</v>
      </c>
      <c r="C34" s="122">
        <f>Depreciation!D58</f>
        <v>44225.064199866087</v>
      </c>
      <c r="D34" s="122">
        <f>Depreciation!E58</f>
        <v>44225.064199866087</v>
      </c>
      <c r="E34" s="122">
        <f>Depreciation!F58</f>
        <v>44225.064199866087</v>
      </c>
      <c r="F34" s="122">
        <f>Depreciation!G58</f>
        <v>44225.064199866087</v>
      </c>
      <c r="G34" s="122">
        <f>Depreciation!H58</f>
        <v>44225.064199866087</v>
      </c>
      <c r="H34" s="122">
        <f>Depreciation!I58</f>
        <v>44225.064199866087</v>
      </c>
      <c r="I34" s="122">
        <f>Depreciation!J58</f>
        <v>44225.064199866087</v>
      </c>
      <c r="J34" s="122">
        <f>Depreciation!K58</f>
        <v>44225.064199866087</v>
      </c>
      <c r="K34" s="122">
        <f>Depreciation!L58</f>
        <v>44225.064199866087</v>
      </c>
      <c r="L34" s="122">
        <f>Depreciation!M58</f>
        <v>44225.064199866087</v>
      </c>
      <c r="M34" s="122">
        <f>Depreciation!N58</f>
        <v>44225.064199866087</v>
      </c>
      <c r="N34" s="122">
        <f>Depreciation!O58</f>
        <v>44225.064199866087</v>
      </c>
      <c r="O34" s="122">
        <f>Depreciation!P58</f>
        <v>44225.064199866087</v>
      </c>
      <c r="P34" s="122">
        <f>Depreciation!Q58</f>
        <v>44225.064199866087</v>
      </c>
      <c r="Q34" s="122">
        <f>Depreciation!R58</f>
        <v>44225.064199866087</v>
      </c>
      <c r="R34" s="122">
        <f>Depreciation!S58</f>
        <v>44225.064199866087</v>
      </c>
      <c r="S34" s="122">
        <f>Depreciation!T58</f>
        <v>44225.064199866087</v>
      </c>
      <c r="T34" s="122">
        <f>Depreciation!U58</f>
        <v>44225.064199866087</v>
      </c>
      <c r="U34" s="122">
        <f>Depreciation!V58</f>
        <v>44225.064199866087</v>
      </c>
      <c r="W34" s="446">
        <f>SUM(B34:U34)</f>
        <v>884501.28399732127</v>
      </c>
      <c r="X34" s="400">
        <f>SUM(Caledonia!W33,'New Albany'!W33,Wheatland!W33,Wilton!W33,Brownsville!W33,Gleason!W33)</f>
        <v>884501.2839973215</v>
      </c>
      <c r="Y34" s="400">
        <f>W34-X34</f>
        <v>0</v>
      </c>
    </row>
    <row r="35" spans="1:25">
      <c r="A35" s="3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W35" s="446"/>
      <c r="X35" s="44"/>
      <c r="Y35" s="44"/>
    </row>
    <row r="36" spans="1:25">
      <c r="A36" s="1" t="s">
        <v>65</v>
      </c>
      <c r="B36" s="197">
        <f t="shared" ref="B36:U36" si="8">B32-B34</f>
        <v>133455.23836348573</v>
      </c>
      <c r="C36" s="197">
        <f t="shared" si="8"/>
        <v>132871.3688308869</v>
      </c>
      <c r="D36" s="197">
        <f t="shared" si="8"/>
        <v>132360.0257037743</v>
      </c>
      <c r="E36" s="197">
        <f t="shared" si="8"/>
        <v>164416.8308642887</v>
      </c>
      <c r="F36" s="197">
        <f t="shared" si="8"/>
        <v>175346.32438968064</v>
      </c>
      <c r="G36" s="197">
        <f t="shared" si="8"/>
        <v>178523.02487118987</v>
      </c>
      <c r="H36" s="197">
        <f t="shared" si="8"/>
        <v>181801.45144523008</v>
      </c>
      <c r="I36" s="197">
        <f t="shared" si="8"/>
        <v>185186.66989435186</v>
      </c>
      <c r="J36" s="197">
        <f t="shared" si="8"/>
        <v>188746.3018881001</v>
      </c>
      <c r="K36" s="197">
        <f t="shared" si="8"/>
        <v>191457.36813676247</v>
      </c>
      <c r="L36" s="197">
        <f t="shared" si="8"/>
        <v>195869.79862245609</v>
      </c>
      <c r="M36" s="197">
        <f t="shared" si="8"/>
        <v>200545.70593279006</v>
      </c>
      <c r="N36" s="197">
        <f t="shared" si="8"/>
        <v>204791.12425358262</v>
      </c>
      <c r="O36" s="197">
        <f t="shared" si="8"/>
        <v>209202.69790817302</v>
      </c>
      <c r="P36" s="197">
        <f t="shared" si="8"/>
        <v>213192.06020921475</v>
      </c>
      <c r="Q36" s="197">
        <f t="shared" si="8"/>
        <v>217337.50029020302</v>
      </c>
      <c r="R36" s="197">
        <f t="shared" si="8"/>
        <v>220927.48011357582</v>
      </c>
      <c r="S36" s="197">
        <f t="shared" si="8"/>
        <v>224559.00695430569</v>
      </c>
      <c r="T36" s="197">
        <f t="shared" si="8"/>
        <v>228232.37900785339</v>
      </c>
      <c r="U36" s="197">
        <f t="shared" si="8"/>
        <v>231957.26374542841</v>
      </c>
      <c r="W36" s="446">
        <f>SUM(B36:U36)</f>
        <v>3810779.6214253334</v>
      </c>
      <c r="X36" s="400">
        <f>SUM(Caledonia!W35,'New Albany'!W35,Wheatland!W35,Wilton!W35,Brownsville!W35,Gleason!W35)</f>
        <v>3810779.6214253334</v>
      </c>
      <c r="Y36" s="400">
        <f>W36-X36</f>
        <v>0</v>
      </c>
    </row>
    <row r="37" spans="1:25">
      <c r="A37" s="1"/>
      <c r="B37" s="197"/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W37" s="446"/>
      <c r="X37" s="44"/>
      <c r="Y37" s="44"/>
    </row>
    <row r="38" spans="1:25">
      <c r="A38" s="3" t="s">
        <v>66</v>
      </c>
      <c r="B38" s="122">
        <f>Debt!B91</f>
        <v>80195.063655030797</v>
      </c>
      <c r="C38" s="122">
        <f>Debt!C91</f>
        <v>78991.765229294993</v>
      </c>
      <c r="D38" s="122">
        <f>Debt!D91</f>
        <v>77294.472108145099</v>
      </c>
      <c r="E38" s="122">
        <f>Debt!E91</f>
        <v>75962.102669404514</v>
      </c>
      <c r="F38" s="122">
        <f>Debt!F91</f>
        <v>73604.857221081445</v>
      </c>
      <c r="G38" s="122">
        <f>Debt!G91</f>
        <v>70810.911430527034</v>
      </c>
      <c r="H38" s="122">
        <f>Debt!H91</f>
        <v>67670.892539356602</v>
      </c>
      <c r="I38" s="122">
        <f>Debt!I91</f>
        <v>64385.85626283368</v>
      </c>
      <c r="J38" s="122">
        <f>Debt!J91</f>
        <v>60305.328678986989</v>
      </c>
      <c r="K38" s="122">
        <f>Debt!K91</f>
        <v>55783.800136892532</v>
      </c>
      <c r="L38" s="122">
        <f>Debt!L91</f>
        <v>51026.119096509239</v>
      </c>
      <c r="M38" s="122">
        <f>Debt!M91</f>
        <v>45838.663928815877</v>
      </c>
      <c r="N38" s="122">
        <f>Debt!N91</f>
        <v>40393.401779603009</v>
      </c>
      <c r="O38" s="122">
        <f>Debt!O91</f>
        <v>35077.043121149894</v>
      </c>
      <c r="P38" s="122">
        <f>Debt!P91</f>
        <v>29693.683778234088</v>
      </c>
      <c r="Q38" s="122">
        <f>Debt!Q91</f>
        <v>24114.420260095823</v>
      </c>
      <c r="R38" s="122">
        <f>Debt!R91</f>
        <v>18196.511978097195</v>
      </c>
      <c r="S38" s="122">
        <f>Debt!S91</f>
        <v>12616.520191649557</v>
      </c>
      <c r="T38" s="122">
        <f>Debt!T91</f>
        <v>7831.7973990417522</v>
      </c>
      <c r="U38" s="122">
        <f>Debt!U91</f>
        <v>3058.7268993839834</v>
      </c>
      <c r="W38" s="446">
        <f>SUM(B38:U38)</f>
        <v>972851.93836413382</v>
      </c>
      <c r="X38" s="400">
        <f>SUM(Caledonia!W37,'New Albany'!W37,Wheatland!W37,Wilton!W37,Brownsville!W37,Gleason!W37)</f>
        <v>972851.93836413394</v>
      </c>
      <c r="Y38" s="400">
        <f>W38-X38</f>
        <v>0</v>
      </c>
    </row>
    <row r="39" spans="1:25">
      <c r="A39" s="6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W39" s="446"/>
      <c r="X39" s="44"/>
      <c r="Y39" s="44"/>
    </row>
    <row r="40" spans="1:25">
      <c r="A40" s="1" t="s">
        <v>67</v>
      </c>
      <c r="B40" s="197">
        <f t="shared" ref="B40:U40" si="9">B36-B38</f>
        <v>53260.174708454928</v>
      </c>
      <c r="C40" s="197">
        <f t="shared" si="9"/>
        <v>53879.603601591909</v>
      </c>
      <c r="D40" s="197">
        <f t="shared" si="9"/>
        <v>55065.553595629201</v>
      </c>
      <c r="E40" s="197">
        <f t="shared" si="9"/>
        <v>88454.728194884185</v>
      </c>
      <c r="F40" s="197">
        <f t="shared" si="9"/>
        <v>101741.46716859919</v>
      </c>
      <c r="G40" s="197">
        <f t="shared" si="9"/>
        <v>107712.11344066284</v>
      </c>
      <c r="H40" s="197">
        <f t="shared" si="9"/>
        <v>114130.55890587348</v>
      </c>
      <c r="I40" s="197">
        <f t="shared" si="9"/>
        <v>120800.81363151818</v>
      </c>
      <c r="J40" s="197">
        <f t="shared" si="9"/>
        <v>128440.97320911312</v>
      </c>
      <c r="K40" s="197">
        <f t="shared" si="9"/>
        <v>135673.56799986993</v>
      </c>
      <c r="L40" s="197">
        <f t="shared" si="9"/>
        <v>144843.67952594685</v>
      </c>
      <c r="M40" s="197">
        <f t="shared" si="9"/>
        <v>154707.0420039742</v>
      </c>
      <c r="N40" s="197">
        <f t="shared" si="9"/>
        <v>164397.72247397961</v>
      </c>
      <c r="O40" s="197">
        <f t="shared" si="9"/>
        <v>174125.65478702314</v>
      </c>
      <c r="P40" s="197">
        <f t="shared" si="9"/>
        <v>183498.37643098066</v>
      </c>
      <c r="Q40" s="197">
        <f t="shared" si="9"/>
        <v>193223.0800301072</v>
      </c>
      <c r="R40" s="197">
        <f t="shared" si="9"/>
        <v>202730.96813547862</v>
      </c>
      <c r="S40" s="197">
        <f t="shared" si="9"/>
        <v>211942.48676265613</v>
      </c>
      <c r="T40" s="197">
        <f t="shared" si="9"/>
        <v>220400.58160881163</v>
      </c>
      <c r="U40" s="197">
        <f t="shared" si="9"/>
        <v>228898.53684604442</v>
      </c>
      <c r="W40" s="446">
        <f>SUM(B40:U40)</f>
        <v>2837927.6830611993</v>
      </c>
      <c r="X40" s="400">
        <f>SUM(Caledonia!W39,'New Albany'!W39,Wheatland!W39,Wilton!W39,Brownsville!W39,Gleason!W39)</f>
        <v>2837927.6830611988</v>
      </c>
      <c r="Y40" s="400">
        <f>W40-X40</f>
        <v>0</v>
      </c>
    </row>
    <row r="41" spans="1:25">
      <c r="A41" s="1"/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W41" s="446"/>
      <c r="X41" s="44"/>
      <c r="Y41" s="44"/>
    </row>
    <row r="42" spans="1:25">
      <c r="A42" s="3" t="s">
        <v>68</v>
      </c>
      <c r="B42" s="122">
        <f>Wheatland!B41+'New Albany'!B41+Wilton!B41+Caledonia!B41+Brownsville!B41+Gleason!B41</f>
        <v>-3033.1714116318749</v>
      </c>
      <c r="C42" s="122">
        <f>Wheatland!C41+'New Albany'!C41+Wilton!C41+Caledonia!C41+Brownsville!C41+Gleason!C41</f>
        <v>-3070.846603137069</v>
      </c>
      <c r="D42" s="122">
        <f>Wheatland!D41+'New Albany'!D41+Wilton!D41+Caledonia!D41+Brownsville!D41+Gleason!D41</f>
        <v>-3140.0567702424541</v>
      </c>
      <c r="E42" s="122">
        <f>Wheatland!E41+'New Albany'!E41+Wilton!E41+Caledonia!E41+Brownsville!E41+Gleason!E41</f>
        <v>-5045.508983357051</v>
      </c>
      <c r="F42" s="122">
        <f>Wheatland!F41+'New Albany'!F41+Wilton!F41+Caledonia!F41+Brownsville!F41+Gleason!F41</f>
        <v>-5802.3662832001746</v>
      </c>
      <c r="G42" s="122">
        <f>Wheatland!G41+'New Albany'!G41+Wilton!G41+Caledonia!G41+Brownsville!G41+Gleason!G41</f>
        <v>-6147.0153665649841</v>
      </c>
      <c r="H42" s="122">
        <f>Wheatland!H41+'New Albany'!H41+Wilton!H41+Caledonia!H41+Brownsville!H41+Gleason!H41</f>
        <v>-6518.4102935139217</v>
      </c>
      <c r="I42" s="122">
        <f>Wheatland!I41+'New Albany'!I41+Wilton!I41+Caledonia!I41+Brownsville!I41+Gleason!I41</f>
        <v>-6903.5753007058174</v>
      </c>
      <c r="J42" s="122">
        <f>Wheatland!J41+'New Albany'!J41+Wilton!J41+Caledonia!J41+Brownsville!J41+Gleason!J41</f>
        <v>-7342.969369022494</v>
      </c>
      <c r="K42" s="122">
        <f>Wheatland!K41+'New Albany'!K41+Wilton!K41+Caledonia!K41+Brownsville!K41+Gleason!K41</f>
        <v>-7765.248926662307</v>
      </c>
      <c r="L42" s="122">
        <f>Wheatland!L41+'New Albany'!L41+Wilton!L41+Caledonia!L41+Brownsville!L41+Gleason!L41</f>
        <v>-8293.9141244740695</v>
      </c>
      <c r="M42" s="122">
        <f>Wheatland!M41+'New Albany'!M41+Wilton!M41+Caledonia!M41+Brownsville!M41+Gleason!M41</f>
        <v>-8860.2425900721828</v>
      </c>
      <c r="N42" s="122">
        <f>Wheatland!N41+'New Albany'!N41+Wilton!N41+Caledonia!N41+Brownsville!N41+Gleason!N41</f>
        <v>-9416.9464063585983</v>
      </c>
      <c r="O42" s="122">
        <f>Wheatland!O41+'New Albany'!O41+Wilton!O41+Caledonia!O41+Brownsville!O41+Gleason!O41</f>
        <v>-9978.7761531259875</v>
      </c>
      <c r="P42" s="122">
        <f>Wheatland!P41+'New Albany'!P41+Wilton!P41+Caledonia!P41+Brownsville!P41+Gleason!P41</f>
        <v>-10519.069314636119</v>
      </c>
      <c r="Q42" s="122">
        <f>Wheatland!Q41+'New Albany'!Q41+Wilton!Q41+Caledonia!Q41+Brownsville!Q41+Gleason!Q41</f>
        <v>-11078.911971536751</v>
      </c>
      <c r="R42" s="122">
        <f>Wheatland!R41+'New Albany'!R41+Wilton!R41+Caledonia!R41+Brownsville!R41+Gleason!R41</f>
        <v>-11624.862042561635</v>
      </c>
      <c r="S42" s="122">
        <f>Wheatland!S41+'New Albany'!S41+Wilton!S41+Caledonia!S41+Brownsville!S41+Gleason!S41</f>
        <v>-12153.868761783417</v>
      </c>
      <c r="T42" s="122">
        <f>Wheatland!T41+'New Albany'!T41+Wilton!T41+Caledonia!T41+Brownsville!T41+Gleason!T41</f>
        <v>-12639.743420571871</v>
      </c>
      <c r="U42" s="122">
        <f>Wheatland!U41+'New Albany'!U41+Wilton!U41+Caledonia!U41+Brownsville!U41+Gleason!U41</f>
        <v>-13127.968734311788</v>
      </c>
      <c r="W42" s="446">
        <f>SUM(B42:U42)</f>
        <v>-162463.47282747057</v>
      </c>
      <c r="X42" s="400">
        <f>SUM(Caledonia!W41,'New Albany'!W41,Wheatland!W41,Wilton!W41,Brownsville!W41,Gleason!W41)</f>
        <v>-162463.47282747054</v>
      </c>
      <c r="Y42" s="400">
        <f>W42-X42</f>
        <v>0</v>
      </c>
    </row>
    <row r="43" spans="1:25">
      <c r="A43" s="3" t="s">
        <v>69</v>
      </c>
      <c r="B43" s="122">
        <f>Wheatland!B42+'New Albany'!B42+Wilton!B42+Caledonia!B42+Brownsville!B42+Gleason!B42</f>
        <v>-17579.451153888054</v>
      </c>
      <c r="C43" s="122">
        <f>Wheatland!C42+'New Albany'!C42+Wilton!C42+Caledonia!C42+Brownsville!C42+Gleason!C42</f>
        <v>-17783.0649494592</v>
      </c>
      <c r="D43" s="122">
        <f>Wheatland!D42+'New Albany'!D42+Wilton!D42+Caledonia!D42+Brownsville!D42+Gleason!D42</f>
        <v>-18173.923888885343</v>
      </c>
      <c r="E43" s="122">
        <f>Wheatland!E42+'New Albany'!E42+Wilton!E42+Caledonia!E42+Brownsville!E42+Gleason!E42</f>
        <v>-29193.226724034488</v>
      </c>
      <c r="F43" s="122">
        <f>Wheatland!F42+'New Albany'!F42+Wilton!F42+Caledonia!F42+Brownsville!F42+Gleason!F42</f>
        <v>-33578.685309889661</v>
      </c>
      <c r="G43" s="122">
        <f>Wheatland!G42+'New Albany'!G42+Wilton!G42+Caledonia!G42+Brownsville!G42+Gleason!G42</f>
        <v>-35547.784325934248</v>
      </c>
      <c r="H43" s="122">
        <f>Wheatland!H42+'New Albany'!H42+Wilton!H42+Caledonia!H42+Brownsville!H42+Gleason!H42</f>
        <v>-37664.252014325837</v>
      </c>
      <c r="I43" s="122">
        <f>Wheatland!I42+'New Albany'!I42+Wilton!I42+Caledonia!I42+Brownsville!I42+Gleason!I42</f>
        <v>-39864.033415784317</v>
      </c>
      <c r="J43" s="122">
        <f>Wheatland!J42+'New Albany'!J42+Wilton!J42+Caledonia!J42+Brownsville!J42+Gleason!J42</f>
        <v>-42384.301344031715</v>
      </c>
      <c r="K43" s="122">
        <f>Wheatland!K42+'New Albany'!K42+Wilton!K42+Caledonia!K42+Brownsville!K42+Gleason!K42</f>
        <v>-44767.911675622658</v>
      </c>
      <c r="L43" s="122">
        <f>Wheatland!L42+'New Albany'!L42+Wilton!L42+Caledonia!L42+Brownsville!L42+Gleason!L42</f>
        <v>-47792.417890515477</v>
      </c>
      <c r="M43" s="122">
        <f>Wheatland!M42+'New Albany'!M42+Wilton!M42+Caledonia!M42+Brownsville!M42+Gleason!M42</f>
        <v>-51046.379794865716</v>
      </c>
      <c r="N43" s="122">
        <f>Wheatland!N42+'New Albany'!N42+Wilton!N42+Caledonia!N42+Brownsville!N42+Gleason!N42</f>
        <v>-54243.271623667337</v>
      </c>
      <c r="O43" s="122">
        <f>Wheatland!O42+'New Albany'!O42+Wilton!O42+Caledonia!O42+Brownsville!O42+Gleason!O42</f>
        <v>-57451.407521863992</v>
      </c>
      <c r="P43" s="122">
        <f>Wheatland!P42+'New Albany'!P42+Wilton!P42+Caledonia!P42+Brownsville!P42+Gleason!P42</f>
        <v>-60542.757490720571</v>
      </c>
      <c r="Q43" s="122">
        <f>Wheatland!Q42+'New Albany'!Q42+Wilton!Q42+Caledonia!Q42+Brownsville!Q42+Gleason!Q42</f>
        <v>-63750.458820499647</v>
      </c>
      <c r="R43" s="122">
        <f>Wheatland!R42+'New Albany'!R42+Wilton!R42+Caledonia!R42+Brownsville!R42+Gleason!R42</f>
        <v>-66887.137132520947</v>
      </c>
      <c r="S43" s="122">
        <f>Wheatland!S42+'New Albany'!S42+Wilton!S42+Caledonia!S42+Brownsville!S42+Gleason!S42</f>
        <v>-69926.016300305419</v>
      </c>
      <c r="T43" s="122">
        <f>Wheatland!T42+'New Albany'!T42+Wilton!T42+Caledonia!T42+Brownsville!T42+Gleason!T42</f>
        <v>-72716.293365883917</v>
      </c>
      <c r="U43" s="122">
        <f>Wheatland!U42+'New Albany'!U42+Wilton!U42+Caledonia!U42+Brownsville!U42+Gleason!U42</f>
        <v>-75519.698839106408</v>
      </c>
      <c r="W43" s="446">
        <f>SUM(B43:U43)</f>
        <v>-936412.47358180478</v>
      </c>
      <c r="X43" s="400">
        <f>SUM(Caledonia!W42,'New Albany'!W42,Wheatland!W42,Wilton!W42,Brownsville!W42,Gleason!W42)</f>
        <v>-936412.47358180489</v>
      </c>
      <c r="Y43" s="400">
        <f>W43-X43</f>
        <v>0</v>
      </c>
    </row>
    <row r="44" spans="1:25">
      <c r="A44" s="6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W44" s="446"/>
      <c r="X44" s="44"/>
      <c r="Y44" s="44"/>
    </row>
    <row r="45" spans="1:25" ht="15.75">
      <c r="A45" s="45" t="s">
        <v>70</v>
      </c>
      <c r="B45" s="373">
        <f>B40+B42+B43</f>
        <v>32647.552142934997</v>
      </c>
      <c r="C45" s="373">
        <f>C40+C42+C43</f>
        <v>33025.692048995639</v>
      </c>
      <c r="D45" s="373">
        <f t="shared" ref="D45:U45" si="10">D40+D42+D43</f>
        <v>33751.572936501405</v>
      </c>
      <c r="E45" s="373">
        <f t="shared" si="10"/>
        <v>54215.992487492644</v>
      </c>
      <c r="F45" s="373">
        <f t="shared" si="10"/>
        <v>62360.41557550936</v>
      </c>
      <c r="G45" s="373">
        <f t="shared" si="10"/>
        <v>66017.313748163608</v>
      </c>
      <c r="H45" s="373">
        <f t="shared" si="10"/>
        <v>69947.896598033723</v>
      </c>
      <c r="I45" s="373">
        <f t="shared" si="10"/>
        <v>74033.204915028036</v>
      </c>
      <c r="J45" s="373">
        <f t="shared" si="10"/>
        <v>78713.702496058904</v>
      </c>
      <c r="K45" s="373">
        <f t="shared" si="10"/>
        <v>83140.407397584975</v>
      </c>
      <c r="L45" s="373">
        <f t="shared" si="10"/>
        <v>88757.347510957305</v>
      </c>
      <c r="M45" s="373">
        <f t="shared" si="10"/>
        <v>94800.4196190363</v>
      </c>
      <c r="N45" s="373">
        <f t="shared" si="10"/>
        <v>100737.50444395369</v>
      </c>
      <c r="O45" s="373">
        <f t="shared" si="10"/>
        <v>106695.47111203318</v>
      </c>
      <c r="P45" s="373">
        <f t="shared" si="10"/>
        <v>112436.54962562397</v>
      </c>
      <c r="Q45" s="373">
        <f t="shared" si="10"/>
        <v>118393.70923807079</v>
      </c>
      <c r="R45" s="373">
        <f t="shared" si="10"/>
        <v>124218.96896039603</v>
      </c>
      <c r="S45" s="373">
        <f t="shared" si="10"/>
        <v>129862.60170056731</v>
      </c>
      <c r="T45" s="373">
        <f t="shared" si="10"/>
        <v>135044.54482235585</v>
      </c>
      <c r="U45" s="373">
        <f t="shared" si="10"/>
        <v>140250.86927262624</v>
      </c>
      <c r="W45" s="446">
        <f>SUM(B45:U45)</f>
        <v>1739051.7366519237</v>
      </c>
      <c r="X45" s="400">
        <f>SUM(Caledonia!W44,'New Albany'!W44,Wheatland!W44,Wilton!W44,Brownsville!W44,Gleason!W44)</f>
        <v>1739051.7366519235</v>
      </c>
      <c r="Y45" s="400">
        <f>W45-X45</f>
        <v>0</v>
      </c>
    </row>
    <row r="47" spans="1:25"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</row>
    <row r="48" spans="1:25"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</row>
  </sheetData>
  <pageMargins left="0.75" right="0.75" top="1" bottom="1" header="0.5" footer="0.5"/>
  <pageSetup scale="43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1" min="1" max="4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D113"/>
  <sheetViews>
    <sheetView zoomScale="75" zoomScaleNormal="75" workbookViewId="0"/>
  </sheetViews>
  <sheetFormatPr defaultRowHeight="12.75"/>
  <cols>
    <col min="1" max="1" width="36.28515625" style="16" bestFit="1" customWidth="1"/>
    <col min="2" max="24" width="14.5703125" style="16" customWidth="1"/>
    <col min="25" max="29" width="14.42578125" style="16" customWidth="1"/>
    <col min="30" max="16384" width="9.140625" style="16"/>
  </cols>
  <sheetData>
    <row r="1" spans="1:27">
      <c r="A1" s="35"/>
      <c r="C1" s="54"/>
      <c r="D1" s="48"/>
      <c r="E1" s="48"/>
      <c r="F1" s="162"/>
      <c r="G1" s="6"/>
      <c r="H1" s="6"/>
      <c r="I1" s="2"/>
      <c r="J1" s="2"/>
      <c r="K1" s="2"/>
      <c r="L1" s="162"/>
      <c r="M1" s="6"/>
      <c r="N1" s="6"/>
      <c r="O1" s="2"/>
      <c r="P1" s="2"/>
      <c r="Q1" s="2"/>
      <c r="R1" s="162"/>
      <c r="S1" s="6"/>
      <c r="T1" s="6"/>
      <c r="U1" s="6"/>
    </row>
    <row r="2" spans="1:27" ht="18.75">
      <c r="A2" s="52" t="s">
        <v>121</v>
      </c>
      <c r="B2" s="336"/>
      <c r="C2" s="54"/>
      <c r="D2" s="48"/>
      <c r="E2" s="48"/>
      <c r="F2" s="162"/>
      <c r="I2" s="54"/>
      <c r="J2" s="54"/>
      <c r="K2" s="54"/>
      <c r="L2" s="162"/>
      <c r="O2" s="54"/>
      <c r="P2" s="54"/>
      <c r="Q2" s="54"/>
      <c r="R2" s="162"/>
      <c r="AA2" s="19"/>
    </row>
    <row r="3" spans="1:27" s="17" customFormat="1">
      <c r="P3" s="242"/>
      <c r="Q3" s="242"/>
      <c r="R3" s="242"/>
      <c r="S3" s="242"/>
      <c r="T3" s="242"/>
      <c r="U3" s="242"/>
    </row>
    <row r="4" spans="1:27" s="243" customFormat="1" ht="13.5">
      <c r="A4" s="37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  <c r="R4" s="305"/>
      <c r="S4" s="305"/>
      <c r="T4" s="305"/>
      <c r="U4" s="305"/>
    </row>
    <row r="5" spans="1:27" ht="13.5" thickBot="1">
      <c r="A5" s="194" t="s">
        <v>56</v>
      </c>
      <c r="B5" s="306">
        <v>2001</v>
      </c>
      <c r="C5" s="306">
        <f>B5+1</f>
        <v>2002</v>
      </c>
      <c r="D5" s="306">
        <f t="shared" ref="D5:U5" si="0">C5+1</f>
        <v>2003</v>
      </c>
      <c r="E5" s="306">
        <f t="shared" si="0"/>
        <v>2004</v>
      </c>
      <c r="F5" s="306">
        <f t="shared" si="0"/>
        <v>2005</v>
      </c>
      <c r="G5" s="306">
        <f t="shared" si="0"/>
        <v>2006</v>
      </c>
      <c r="H5" s="306">
        <f t="shared" si="0"/>
        <v>2007</v>
      </c>
      <c r="I5" s="306">
        <f t="shared" si="0"/>
        <v>2008</v>
      </c>
      <c r="J5" s="306">
        <f t="shared" si="0"/>
        <v>2009</v>
      </c>
      <c r="K5" s="306">
        <f t="shared" si="0"/>
        <v>2010</v>
      </c>
      <c r="L5" s="306">
        <f t="shared" si="0"/>
        <v>2011</v>
      </c>
      <c r="M5" s="306">
        <f t="shared" si="0"/>
        <v>2012</v>
      </c>
      <c r="N5" s="306">
        <f t="shared" si="0"/>
        <v>2013</v>
      </c>
      <c r="O5" s="306">
        <f t="shared" si="0"/>
        <v>2014</v>
      </c>
      <c r="P5" s="306">
        <f t="shared" si="0"/>
        <v>2015</v>
      </c>
      <c r="Q5" s="306">
        <f t="shared" si="0"/>
        <v>2016</v>
      </c>
      <c r="R5" s="306">
        <f t="shared" si="0"/>
        <v>2017</v>
      </c>
      <c r="S5" s="306">
        <f t="shared" si="0"/>
        <v>2018</v>
      </c>
      <c r="T5" s="306">
        <f t="shared" si="0"/>
        <v>2019</v>
      </c>
      <c r="U5" s="306">
        <f t="shared" si="0"/>
        <v>2020</v>
      </c>
    </row>
    <row r="6" spans="1:27" s="42" customFormat="1">
      <c r="A6" s="307"/>
      <c r="B6" s="308">
        <v>37256</v>
      </c>
      <c r="C6" s="308">
        <v>37621</v>
      </c>
      <c r="D6" s="308">
        <v>37986</v>
      </c>
      <c r="E6" s="308">
        <v>38352</v>
      </c>
      <c r="F6" s="308">
        <v>38717</v>
      </c>
      <c r="G6" s="308">
        <v>39082</v>
      </c>
      <c r="H6" s="308">
        <v>39447</v>
      </c>
      <c r="I6" s="308">
        <v>39813</v>
      </c>
      <c r="J6" s="308">
        <v>40178</v>
      </c>
      <c r="K6" s="308">
        <v>40543</v>
      </c>
      <c r="L6" s="308">
        <v>40908</v>
      </c>
      <c r="M6" s="308">
        <v>41274</v>
      </c>
      <c r="N6" s="308">
        <v>41639</v>
      </c>
      <c r="O6" s="308">
        <v>42004</v>
      </c>
      <c r="P6" s="308">
        <v>42369</v>
      </c>
      <c r="Q6" s="308">
        <v>42735</v>
      </c>
      <c r="R6" s="308">
        <v>43100</v>
      </c>
      <c r="S6" s="308">
        <v>43465</v>
      </c>
      <c r="T6" s="308">
        <v>43830</v>
      </c>
      <c r="U6" s="308">
        <v>44196</v>
      </c>
    </row>
    <row r="7" spans="1:27">
      <c r="R7" s="17"/>
      <c r="S7" s="17"/>
      <c r="T7" s="17"/>
      <c r="U7" s="17"/>
    </row>
    <row r="8" spans="1:27">
      <c r="A8" s="15" t="s">
        <v>240</v>
      </c>
      <c r="B8" s="122">
        <f>IS!B32-IS!B13</f>
        <v>123624.03367595082</v>
      </c>
      <c r="C8" s="122">
        <f>IS!C32-IS!C13</f>
        <v>123040.164143352</v>
      </c>
      <c r="D8" s="122">
        <f>IS!D32-IS!D13</f>
        <v>122528.8210162394</v>
      </c>
      <c r="E8" s="122">
        <f>IS!E32</f>
        <v>208641.89506415479</v>
      </c>
      <c r="F8" s="122">
        <f>IS!F32</f>
        <v>219571.38858954672</v>
      </c>
      <c r="G8" s="122">
        <f>IS!G32</f>
        <v>222748.08907105596</v>
      </c>
      <c r="H8" s="122">
        <f>IS!H32</f>
        <v>226026.51564509617</v>
      </c>
      <c r="I8" s="122">
        <f>IS!I32</f>
        <v>229411.73409421794</v>
      </c>
      <c r="J8" s="122">
        <f>IS!J32</f>
        <v>232971.36608796619</v>
      </c>
      <c r="K8" s="122">
        <f>IS!K32</f>
        <v>235682.43233662855</v>
      </c>
      <c r="L8" s="122">
        <f>IS!L32</f>
        <v>240094.86282232217</v>
      </c>
      <c r="M8" s="122">
        <f>IS!M32</f>
        <v>244770.77013265615</v>
      </c>
      <c r="N8" s="122">
        <f>IS!N32</f>
        <v>249016.1884534487</v>
      </c>
      <c r="O8" s="122">
        <f>IS!O32</f>
        <v>253427.76210803911</v>
      </c>
      <c r="P8" s="122">
        <f>IS!P32</f>
        <v>257417.12440908083</v>
      </c>
      <c r="Q8" s="122">
        <f>IS!Q32</f>
        <v>261562.56449006911</v>
      </c>
      <c r="R8" s="122">
        <f>IS!R32</f>
        <v>265152.5443134419</v>
      </c>
      <c r="S8" s="122">
        <f>IS!S32</f>
        <v>268784.07115417178</v>
      </c>
      <c r="T8" s="122">
        <f>IS!T32</f>
        <v>272457.44320771948</v>
      </c>
      <c r="U8" s="122">
        <f>IS!U32</f>
        <v>276182.3279452945</v>
      </c>
    </row>
    <row r="9" spans="1:27">
      <c r="B9" s="6"/>
      <c r="C9" s="32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7">
      <c r="A10" s="39" t="s">
        <v>17</v>
      </c>
      <c r="B10" s="6"/>
      <c r="C10" s="32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7" ht="13.5">
      <c r="B11" s="310">
        <f>'Summary Output'!$B$19</f>
        <v>36892</v>
      </c>
      <c r="C11" s="310">
        <v>37257</v>
      </c>
      <c r="D11" s="310">
        <v>37622</v>
      </c>
      <c r="E11" s="310">
        <v>37987</v>
      </c>
      <c r="F11" s="310">
        <v>38353</v>
      </c>
      <c r="G11" s="310">
        <v>38718</v>
      </c>
      <c r="H11" s="310">
        <v>39083</v>
      </c>
      <c r="I11" s="310">
        <v>39448</v>
      </c>
      <c r="J11" s="310">
        <v>39814</v>
      </c>
      <c r="K11" s="310">
        <v>40179</v>
      </c>
      <c r="L11" s="310">
        <v>40544</v>
      </c>
      <c r="M11" s="310">
        <v>40909</v>
      </c>
      <c r="N11" s="310">
        <v>41275</v>
      </c>
      <c r="O11" s="310">
        <v>41640</v>
      </c>
      <c r="P11" s="310">
        <v>42005</v>
      </c>
      <c r="Q11" s="310">
        <v>42370</v>
      </c>
      <c r="R11" s="310">
        <v>42736</v>
      </c>
      <c r="S11" s="310">
        <v>43101</v>
      </c>
      <c r="T11" s="310">
        <v>43466</v>
      </c>
      <c r="U11" s="310">
        <v>43831</v>
      </c>
      <c r="W11" s="393" t="s">
        <v>161</v>
      </c>
      <c r="X11" s="393" t="s">
        <v>160</v>
      </c>
    </row>
    <row r="12" spans="1:27">
      <c r="A12" s="40" t="s">
        <v>77</v>
      </c>
      <c r="B12" s="56">
        <v>0</v>
      </c>
      <c r="C12" s="56">
        <f t="shared" ref="C12:U12" si="1">B28</f>
        <v>34500</v>
      </c>
      <c r="D12" s="56">
        <f t="shared" si="1"/>
        <v>17875</v>
      </c>
      <c r="E12" s="56">
        <f t="shared" si="1"/>
        <v>0</v>
      </c>
      <c r="F12" s="56">
        <f t="shared" si="1"/>
        <v>0</v>
      </c>
      <c r="G12" s="56">
        <f t="shared" si="1"/>
        <v>0</v>
      </c>
      <c r="H12" s="56">
        <f t="shared" si="1"/>
        <v>0</v>
      </c>
      <c r="I12" s="56">
        <f t="shared" si="1"/>
        <v>0</v>
      </c>
      <c r="J12" s="56">
        <f t="shared" si="1"/>
        <v>0</v>
      </c>
      <c r="K12" s="56">
        <f t="shared" si="1"/>
        <v>0</v>
      </c>
      <c r="L12" s="56">
        <f t="shared" si="1"/>
        <v>0</v>
      </c>
      <c r="M12" s="56">
        <f t="shared" si="1"/>
        <v>0</v>
      </c>
      <c r="N12" s="56">
        <f t="shared" si="1"/>
        <v>0</v>
      </c>
      <c r="O12" s="56">
        <f t="shared" si="1"/>
        <v>0</v>
      </c>
      <c r="P12" s="56">
        <f t="shared" si="1"/>
        <v>0</v>
      </c>
      <c r="Q12" s="56">
        <f t="shared" si="1"/>
        <v>0</v>
      </c>
      <c r="R12" s="56">
        <f t="shared" si="1"/>
        <v>0</v>
      </c>
      <c r="S12" s="56">
        <f t="shared" si="1"/>
        <v>0</v>
      </c>
      <c r="T12" s="56">
        <f t="shared" si="1"/>
        <v>0</v>
      </c>
      <c r="U12" s="56">
        <f t="shared" si="1"/>
        <v>0</v>
      </c>
      <c r="W12" s="394"/>
      <c r="X12" s="394"/>
    </row>
    <row r="13" spans="1:27">
      <c r="A13" s="40" t="s">
        <v>79</v>
      </c>
      <c r="B13" s="341">
        <v>0</v>
      </c>
      <c r="C13" s="152">
        <f t="shared" ref="C13:U13" si="2">C12*$E$97*(C11-B23)/365.25</f>
        <v>8.5482546201232026</v>
      </c>
      <c r="D13" s="152">
        <f t="shared" si="2"/>
        <v>4.4289869952087608</v>
      </c>
      <c r="E13" s="152">
        <f t="shared" si="2"/>
        <v>0</v>
      </c>
      <c r="F13" s="152">
        <f t="shared" si="2"/>
        <v>0</v>
      </c>
      <c r="G13" s="152">
        <f t="shared" si="2"/>
        <v>0</v>
      </c>
      <c r="H13" s="152">
        <f t="shared" si="2"/>
        <v>0</v>
      </c>
      <c r="I13" s="152">
        <f t="shared" si="2"/>
        <v>0</v>
      </c>
      <c r="J13" s="152">
        <f t="shared" si="2"/>
        <v>0</v>
      </c>
      <c r="K13" s="152">
        <f t="shared" si="2"/>
        <v>0</v>
      </c>
      <c r="L13" s="152">
        <f t="shared" si="2"/>
        <v>0</v>
      </c>
      <c r="M13" s="152">
        <f t="shared" si="2"/>
        <v>0</v>
      </c>
      <c r="N13" s="152">
        <f t="shared" si="2"/>
        <v>0</v>
      </c>
      <c r="O13" s="152">
        <f t="shared" si="2"/>
        <v>0</v>
      </c>
      <c r="P13" s="152">
        <f t="shared" si="2"/>
        <v>0</v>
      </c>
      <c r="Q13" s="152">
        <f t="shared" si="2"/>
        <v>0</v>
      </c>
      <c r="R13" s="152">
        <f t="shared" si="2"/>
        <v>0</v>
      </c>
      <c r="S13" s="152">
        <f t="shared" si="2"/>
        <v>0</v>
      </c>
      <c r="T13" s="152">
        <f t="shared" si="2"/>
        <v>0</v>
      </c>
      <c r="U13" s="152">
        <f t="shared" si="2"/>
        <v>0</v>
      </c>
      <c r="W13" s="394"/>
      <c r="X13" s="394"/>
    </row>
    <row r="14" spans="1:27" ht="13.5">
      <c r="A14" s="40" t="s">
        <v>80</v>
      </c>
      <c r="B14" s="120">
        <f>'Summary Output'!B20</f>
        <v>50000</v>
      </c>
      <c r="C14" s="59">
        <f>C12</f>
        <v>34500</v>
      </c>
      <c r="D14" s="59">
        <f>D12</f>
        <v>17875</v>
      </c>
      <c r="E14" s="59">
        <f>E12</f>
        <v>0</v>
      </c>
      <c r="F14" s="59">
        <f>F12</f>
        <v>0</v>
      </c>
      <c r="G14" s="59">
        <f>G12</f>
        <v>0</v>
      </c>
      <c r="H14" s="59">
        <f t="shared" ref="H14:U14" si="3">H12</f>
        <v>0</v>
      </c>
      <c r="I14" s="59">
        <f t="shared" si="3"/>
        <v>0</v>
      </c>
      <c r="J14" s="59">
        <f t="shared" si="3"/>
        <v>0</v>
      </c>
      <c r="K14" s="59">
        <f t="shared" si="3"/>
        <v>0</v>
      </c>
      <c r="L14" s="59">
        <f t="shared" si="3"/>
        <v>0</v>
      </c>
      <c r="M14" s="59">
        <f t="shared" si="3"/>
        <v>0</v>
      </c>
      <c r="N14" s="59">
        <f t="shared" si="3"/>
        <v>0</v>
      </c>
      <c r="O14" s="59">
        <f t="shared" si="3"/>
        <v>0</v>
      </c>
      <c r="P14" s="59">
        <f t="shared" si="3"/>
        <v>0</v>
      </c>
      <c r="Q14" s="59">
        <f t="shared" si="3"/>
        <v>0</v>
      </c>
      <c r="R14" s="59">
        <f t="shared" si="3"/>
        <v>0</v>
      </c>
      <c r="S14" s="59">
        <f t="shared" si="3"/>
        <v>0</v>
      </c>
      <c r="T14" s="59">
        <f t="shared" si="3"/>
        <v>0</v>
      </c>
      <c r="U14" s="59">
        <f t="shared" si="3"/>
        <v>0</v>
      </c>
      <c r="W14" s="395">
        <f>SUM(B19:U19,B26:U26)</f>
        <v>50000</v>
      </c>
      <c r="X14" s="396">
        <f>B14-W14</f>
        <v>0</v>
      </c>
    </row>
    <row r="15" spans="1:27">
      <c r="B15" s="331"/>
      <c r="C15" s="32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W15" s="394"/>
      <c r="X15" s="394"/>
    </row>
    <row r="16" spans="1:27">
      <c r="A16" s="44"/>
      <c r="B16" s="310">
        <v>37072</v>
      </c>
      <c r="C16" s="310">
        <v>37437</v>
      </c>
      <c r="D16" s="310">
        <v>37802</v>
      </c>
      <c r="E16" s="310">
        <v>38168</v>
      </c>
      <c r="F16" s="310">
        <v>38533</v>
      </c>
      <c r="G16" s="310">
        <v>38898</v>
      </c>
      <c r="H16" s="310">
        <v>39263</v>
      </c>
      <c r="I16" s="310">
        <v>39629</v>
      </c>
      <c r="J16" s="310">
        <v>39994</v>
      </c>
      <c r="K16" s="310">
        <v>40359</v>
      </c>
      <c r="L16" s="310">
        <v>40724</v>
      </c>
      <c r="M16" s="310">
        <v>41090</v>
      </c>
      <c r="N16" s="310">
        <v>41455</v>
      </c>
      <c r="O16" s="310">
        <v>41820</v>
      </c>
      <c r="P16" s="310">
        <v>42185</v>
      </c>
      <c r="Q16" s="310">
        <v>42551</v>
      </c>
      <c r="R16" s="310">
        <v>42916</v>
      </c>
      <c r="S16" s="310">
        <v>43281</v>
      </c>
      <c r="T16" s="310">
        <v>43646</v>
      </c>
      <c r="U16" s="310">
        <v>44012</v>
      </c>
      <c r="W16" s="394"/>
      <c r="X16" s="394"/>
    </row>
    <row r="17" spans="1:25">
      <c r="A17" s="40" t="s">
        <v>77</v>
      </c>
      <c r="B17" s="56">
        <f t="shared" ref="B17:G17" si="4">B14</f>
        <v>50000</v>
      </c>
      <c r="C17" s="56">
        <f t="shared" si="4"/>
        <v>34500</v>
      </c>
      <c r="D17" s="56">
        <f t="shared" si="4"/>
        <v>17875</v>
      </c>
      <c r="E17" s="56">
        <f t="shared" si="4"/>
        <v>0</v>
      </c>
      <c r="F17" s="56">
        <f t="shared" si="4"/>
        <v>0</v>
      </c>
      <c r="G17" s="56">
        <f t="shared" si="4"/>
        <v>0</v>
      </c>
      <c r="H17" s="56">
        <f t="shared" ref="H17:U17" si="5">H14</f>
        <v>0</v>
      </c>
      <c r="I17" s="56">
        <f t="shared" si="5"/>
        <v>0</v>
      </c>
      <c r="J17" s="56">
        <f t="shared" si="5"/>
        <v>0</v>
      </c>
      <c r="K17" s="56">
        <f t="shared" si="5"/>
        <v>0</v>
      </c>
      <c r="L17" s="56">
        <f t="shared" si="5"/>
        <v>0</v>
      </c>
      <c r="M17" s="56">
        <f t="shared" si="5"/>
        <v>0</v>
      </c>
      <c r="N17" s="56">
        <f t="shared" si="5"/>
        <v>0</v>
      </c>
      <c r="O17" s="56">
        <f t="shared" si="5"/>
        <v>0</v>
      </c>
      <c r="P17" s="56">
        <f t="shared" si="5"/>
        <v>0</v>
      </c>
      <c r="Q17" s="56">
        <f t="shared" si="5"/>
        <v>0</v>
      </c>
      <c r="R17" s="56">
        <f t="shared" si="5"/>
        <v>0</v>
      </c>
      <c r="S17" s="56">
        <f t="shared" si="5"/>
        <v>0</v>
      </c>
      <c r="T17" s="56">
        <f t="shared" si="5"/>
        <v>0</v>
      </c>
      <c r="U17" s="56">
        <f t="shared" si="5"/>
        <v>0</v>
      </c>
      <c r="W17" s="394"/>
      <c r="X17" s="394"/>
    </row>
    <row r="18" spans="1:25">
      <c r="A18" s="40" t="s">
        <v>231</v>
      </c>
      <c r="B18" s="489">
        <v>0.155</v>
      </c>
      <c r="C18" s="489">
        <v>0.16500000000000001</v>
      </c>
      <c r="D18" s="489">
        <v>0.25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W18" s="394"/>
      <c r="X18" s="394"/>
    </row>
    <row r="19" spans="1:25">
      <c r="A19" s="40" t="s">
        <v>78</v>
      </c>
      <c r="B19" s="56">
        <f>$B$14*B18</f>
        <v>7750</v>
      </c>
      <c r="C19" s="56">
        <f>$B$14*C18</f>
        <v>8250</v>
      </c>
      <c r="D19" s="56">
        <f>$B$14*D18</f>
        <v>12500</v>
      </c>
      <c r="E19" s="56">
        <f t="shared" ref="E19:U19" si="6">$B$14*E18</f>
        <v>0</v>
      </c>
      <c r="F19" s="56">
        <f t="shared" si="6"/>
        <v>0</v>
      </c>
      <c r="G19" s="56">
        <f t="shared" si="6"/>
        <v>0</v>
      </c>
      <c r="H19" s="56">
        <f t="shared" si="6"/>
        <v>0</v>
      </c>
      <c r="I19" s="56">
        <f t="shared" si="6"/>
        <v>0</v>
      </c>
      <c r="J19" s="56">
        <f t="shared" si="6"/>
        <v>0</v>
      </c>
      <c r="K19" s="56">
        <f t="shared" si="6"/>
        <v>0</v>
      </c>
      <c r="L19" s="56">
        <f t="shared" si="6"/>
        <v>0</v>
      </c>
      <c r="M19" s="56">
        <f t="shared" si="6"/>
        <v>0</v>
      </c>
      <c r="N19" s="56">
        <f t="shared" si="6"/>
        <v>0</v>
      </c>
      <c r="O19" s="56">
        <f t="shared" si="6"/>
        <v>0</v>
      </c>
      <c r="P19" s="56">
        <f t="shared" si="6"/>
        <v>0</v>
      </c>
      <c r="Q19" s="56">
        <f t="shared" si="6"/>
        <v>0</v>
      </c>
      <c r="R19" s="56">
        <f t="shared" si="6"/>
        <v>0</v>
      </c>
      <c r="S19" s="56">
        <f t="shared" si="6"/>
        <v>0</v>
      </c>
      <c r="T19" s="56">
        <f t="shared" si="6"/>
        <v>0</v>
      </c>
      <c r="U19" s="56">
        <f t="shared" si="6"/>
        <v>0</v>
      </c>
      <c r="V19" s="6"/>
      <c r="W19" s="397"/>
      <c r="X19" s="397"/>
      <c r="Y19" s="6"/>
    </row>
    <row r="20" spans="1:25">
      <c r="A20" s="40" t="s">
        <v>79</v>
      </c>
      <c r="B20" s="152">
        <f t="shared" ref="B20:G20" si="7">B17*$E$97*(B16-B11)/365.25</f>
        <v>2229.9794661190963</v>
      </c>
      <c r="C20" s="152">
        <f t="shared" si="7"/>
        <v>1538.6858316221767</v>
      </c>
      <c r="D20" s="152">
        <f t="shared" si="7"/>
        <v>797.21765913757702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ref="H20:U20" si="8">H17*$E$97*(H16-H11)/365.25</f>
        <v>0</v>
      </c>
      <c r="I20" s="152">
        <f t="shared" si="8"/>
        <v>0</v>
      </c>
      <c r="J20" s="152">
        <f t="shared" si="8"/>
        <v>0</v>
      </c>
      <c r="K20" s="152">
        <f t="shared" si="8"/>
        <v>0</v>
      </c>
      <c r="L20" s="152">
        <f t="shared" si="8"/>
        <v>0</v>
      </c>
      <c r="M20" s="152">
        <f t="shared" si="8"/>
        <v>0</v>
      </c>
      <c r="N20" s="152">
        <f t="shared" si="8"/>
        <v>0</v>
      </c>
      <c r="O20" s="152">
        <f t="shared" si="8"/>
        <v>0</v>
      </c>
      <c r="P20" s="152">
        <f t="shared" si="8"/>
        <v>0</v>
      </c>
      <c r="Q20" s="152">
        <f t="shared" si="8"/>
        <v>0</v>
      </c>
      <c r="R20" s="152">
        <f t="shared" si="8"/>
        <v>0</v>
      </c>
      <c r="S20" s="152">
        <f t="shared" si="8"/>
        <v>0</v>
      </c>
      <c r="T20" s="152">
        <f t="shared" si="8"/>
        <v>0</v>
      </c>
      <c r="U20" s="152">
        <f t="shared" si="8"/>
        <v>0</v>
      </c>
      <c r="V20" s="6"/>
      <c r="W20" s="397"/>
      <c r="X20" s="397"/>
      <c r="Y20" s="6"/>
    </row>
    <row r="21" spans="1:25">
      <c r="A21" s="40" t="s">
        <v>80</v>
      </c>
      <c r="B21" s="59">
        <f>B17-B19</f>
        <v>42250</v>
      </c>
      <c r="C21" s="59">
        <f t="shared" ref="C21:U21" si="9">C17-C19</f>
        <v>26250</v>
      </c>
      <c r="D21" s="59">
        <f t="shared" si="9"/>
        <v>5375</v>
      </c>
      <c r="E21" s="59">
        <f t="shared" si="9"/>
        <v>0</v>
      </c>
      <c r="F21" s="59">
        <f t="shared" si="9"/>
        <v>0</v>
      </c>
      <c r="G21" s="59">
        <f t="shared" si="9"/>
        <v>0</v>
      </c>
      <c r="H21" s="59">
        <f t="shared" si="9"/>
        <v>0</v>
      </c>
      <c r="I21" s="59">
        <f t="shared" si="9"/>
        <v>0</v>
      </c>
      <c r="J21" s="59">
        <f t="shared" si="9"/>
        <v>0</v>
      </c>
      <c r="K21" s="59">
        <f t="shared" si="9"/>
        <v>0</v>
      </c>
      <c r="L21" s="59">
        <f t="shared" si="9"/>
        <v>0</v>
      </c>
      <c r="M21" s="59">
        <f t="shared" si="9"/>
        <v>0</v>
      </c>
      <c r="N21" s="59">
        <f t="shared" si="9"/>
        <v>0</v>
      </c>
      <c r="O21" s="59">
        <f t="shared" si="9"/>
        <v>0</v>
      </c>
      <c r="P21" s="59">
        <f t="shared" si="9"/>
        <v>0</v>
      </c>
      <c r="Q21" s="59">
        <f t="shared" si="9"/>
        <v>0</v>
      </c>
      <c r="R21" s="59">
        <f t="shared" si="9"/>
        <v>0</v>
      </c>
      <c r="S21" s="59">
        <f t="shared" si="9"/>
        <v>0</v>
      </c>
      <c r="T21" s="59">
        <f t="shared" si="9"/>
        <v>0</v>
      </c>
      <c r="U21" s="59">
        <f t="shared" si="9"/>
        <v>0</v>
      </c>
      <c r="V21" s="6"/>
      <c r="W21" s="397"/>
      <c r="X21" s="397"/>
      <c r="Y21" s="6"/>
    </row>
    <row r="22" spans="1:25">
      <c r="A22" s="40"/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6"/>
      <c r="W22" s="397"/>
      <c r="X22" s="397"/>
      <c r="Y22" s="6"/>
    </row>
    <row r="23" spans="1:25">
      <c r="A23" s="44"/>
      <c r="B23" s="310">
        <v>37256</v>
      </c>
      <c r="C23" s="310">
        <v>37621</v>
      </c>
      <c r="D23" s="310">
        <v>37986</v>
      </c>
      <c r="E23" s="310">
        <v>38352</v>
      </c>
      <c r="F23" s="310">
        <v>38717</v>
      </c>
      <c r="G23" s="310">
        <v>39082</v>
      </c>
      <c r="H23" s="310">
        <v>39447</v>
      </c>
      <c r="I23" s="310">
        <v>39813</v>
      </c>
      <c r="J23" s="310">
        <v>40178</v>
      </c>
      <c r="K23" s="310">
        <v>40543</v>
      </c>
      <c r="L23" s="310">
        <v>40908</v>
      </c>
      <c r="M23" s="310">
        <v>41274</v>
      </c>
      <c r="N23" s="310">
        <v>41639</v>
      </c>
      <c r="O23" s="310">
        <v>42004</v>
      </c>
      <c r="P23" s="310">
        <v>42369</v>
      </c>
      <c r="Q23" s="310">
        <v>42735</v>
      </c>
      <c r="R23" s="310">
        <v>43100</v>
      </c>
      <c r="S23" s="310">
        <v>43465</v>
      </c>
      <c r="T23" s="310">
        <v>43830</v>
      </c>
      <c r="U23" s="310">
        <v>44196</v>
      </c>
      <c r="V23" s="6"/>
      <c r="W23" s="397"/>
      <c r="X23" s="397"/>
      <c r="Y23" s="6"/>
    </row>
    <row r="24" spans="1:25">
      <c r="A24" s="40" t="s">
        <v>77</v>
      </c>
      <c r="B24" s="56">
        <f t="shared" ref="B24:G24" si="10">B21</f>
        <v>42250</v>
      </c>
      <c r="C24" s="56">
        <f t="shared" si="10"/>
        <v>26250</v>
      </c>
      <c r="D24" s="56">
        <f t="shared" si="10"/>
        <v>5375</v>
      </c>
      <c r="E24" s="56">
        <f t="shared" si="10"/>
        <v>0</v>
      </c>
      <c r="F24" s="56">
        <f t="shared" si="10"/>
        <v>0</v>
      </c>
      <c r="G24" s="56">
        <f t="shared" si="10"/>
        <v>0</v>
      </c>
      <c r="H24" s="56">
        <f t="shared" ref="H24:U24" si="11">H21</f>
        <v>0</v>
      </c>
      <c r="I24" s="56">
        <f t="shared" si="11"/>
        <v>0</v>
      </c>
      <c r="J24" s="56">
        <f t="shared" si="11"/>
        <v>0</v>
      </c>
      <c r="K24" s="56">
        <f t="shared" si="11"/>
        <v>0</v>
      </c>
      <c r="L24" s="56">
        <f t="shared" si="11"/>
        <v>0</v>
      </c>
      <c r="M24" s="56">
        <f t="shared" si="11"/>
        <v>0</v>
      </c>
      <c r="N24" s="56">
        <f t="shared" si="11"/>
        <v>0</v>
      </c>
      <c r="O24" s="56">
        <f t="shared" si="11"/>
        <v>0</v>
      </c>
      <c r="P24" s="56">
        <f t="shared" si="11"/>
        <v>0</v>
      </c>
      <c r="Q24" s="56">
        <f t="shared" si="11"/>
        <v>0</v>
      </c>
      <c r="R24" s="56">
        <f t="shared" si="11"/>
        <v>0</v>
      </c>
      <c r="S24" s="56">
        <f t="shared" si="11"/>
        <v>0</v>
      </c>
      <c r="T24" s="56">
        <f t="shared" si="11"/>
        <v>0</v>
      </c>
      <c r="U24" s="56">
        <f t="shared" si="11"/>
        <v>0</v>
      </c>
      <c r="V24" s="6"/>
      <c r="W24" s="397"/>
      <c r="X24" s="397"/>
      <c r="Y24" s="6"/>
    </row>
    <row r="25" spans="1:25">
      <c r="A25" s="40" t="s">
        <v>231</v>
      </c>
      <c r="B25" s="489">
        <v>0.155</v>
      </c>
      <c r="C25" s="489">
        <v>0.16750000000000001</v>
      </c>
      <c r="D25" s="489">
        <v>0.1075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6"/>
      <c r="W25" s="397"/>
      <c r="X25" s="397"/>
      <c r="Y25" s="6"/>
    </row>
    <row r="26" spans="1:25">
      <c r="A26" s="40" t="s">
        <v>78</v>
      </c>
      <c r="B26" s="56">
        <f>B25*$B$14</f>
        <v>7750</v>
      </c>
      <c r="C26" s="56">
        <f t="shared" ref="C26:U26" si="12">C25*$B$14</f>
        <v>8375</v>
      </c>
      <c r="D26" s="56">
        <f t="shared" si="12"/>
        <v>5375</v>
      </c>
      <c r="E26" s="56">
        <f t="shared" si="12"/>
        <v>0</v>
      </c>
      <c r="F26" s="56">
        <f t="shared" si="12"/>
        <v>0</v>
      </c>
      <c r="G26" s="56">
        <f t="shared" si="12"/>
        <v>0</v>
      </c>
      <c r="H26" s="56">
        <f t="shared" si="12"/>
        <v>0</v>
      </c>
      <c r="I26" s="56">
        <f t="shared" si="12"/>
        <v>0</v>
      </c>
      <c r="J26" s="56">
        <f t="shared" si="12"/>
        <v>0</v>
      </c>
      <c r="K26" s="56">
        <f t="shared" si="12"/>
        <v>0</v>
      </c>
      <c r="L26" s="56">
        <f t="shared" si="12"/>
        <v>0</v>
      </c>
      <c r="M26" s="56">
        <f t="shared" si="12"/>
        <v>0</v>
      </c>
      <c r="N26" s="56">
        <f t="shared" si="12"/>
        <v>0</v>
      </c>
      <c r="O26" s="56">
        <f t="shared" si="12"/>
        <v>0</v>
      </c>
      <c r="P26" s="56">
        <f t="shared" si="12"/>
        <v>0</v>
      </c>
      <c r="Q26" s="56">
        <f t="shared" si="12"/>
        <v>0</v>
      </c>
      <c r="R26" s="56">
        <f t="shared" si="12"/>
        <v>0</v>
      </c>
      <c r="S26" s="56">
        <f t="shared" si="12"/>
        <v>0</v>
      </c>
      <c r="T26" s="56">
        <f t="shared" si="12"/>
        <v>0</v>
      </c>
      <c r="U26" s="56">
        <f t="shared" si="12"/>
        <v>0</v>
      </c>
      <c r="V26" s="6"/>
      <c r="W26" s="397"/>
      <c r="X26" s="397"/>
      <c r="Y26" s="6"/>
    </row>
    <row r="27" spans="1:25">
      <c r="A27" s="40" t="s">
        <v>79</v>
      </c>
      <c r="B27" s="152">
        <f t="shared" ref="B27:G27" si="13">B24*$E$97*(B23-B16)/365.25</f>
        <v>1926.2067077344284</v>
      </c>
      <c r="C27" s="152">
        <f t="shared" si="13"/>
        <v>1196.7556468172484</v>
      </c>
      <c r="D27" s="152">
        <f t="shared" si="13"/>
        <v>245.04996577686515</v>
      </c>
      <c r="E27" s="152">
        <f t="shared" si="13"/>
        <v>0</v>
      </c>
      <c r="F27" s="152">
        <f t="shared" si="13"/>
        <v>0</v>
      </c>
      <c r="G27" s="152">
        <f t="shared" si="13"/>
        <v>0</v>
      </c>
      <c r="H27" s="152">
        <f t="shared" ref="H27:U27" si="14">H24*$E$97*(H23-H16)/365.25</f>
        <v>0</v>
      </c>
      <c r="I27" s="152">
        <f t="shared" si="14"/>
        <v>0</v>
      </c>
      <c r="J27" s="152">
        <f t="shared" si="14"/>
        <v>0</v>
      </c>
      <c r="K27" s="152">
        <f t="shared" si="14"/>
        <v>0</v>
      </c>
      <c r="L27" s="152">
        <f t="shared" si="14"/>
        <v>0</v>
      </c>
      <c r="M27" s="152">
        <f t="shared" si="14"/>
        <v>0</v>
      </c>
      <c r="N27" s="152">
        <f t="shared" si="14"/>
        <v>0</v>
      </c>
      <c r="O27" s="152">
        <f t="shared" si="14"/>
        <v>0</v>
      </c>
      <c r="P27" s="152">
        <f t="shared" si="14"/>
        <v>0</v>
      </c>
      <c r="Q27" s="152">
        <f t="shared" si="14"/>
        <v>0</v>
      </c>
      <c r="R27" s="152">
        <f t="shared" si="14"/>
        <v>0</v>
      </c>
      <c r="S27" s="152">
        <f t="shared" si="14"/>
        <v>0</v>
      </c>
      <c r="T27" s="152">
        <f t="shared" si="14"/>
        <v>0</v>
      </c>
      <c r="U27" s="152">
        <f t="shared" si="14"/>
        <v>0</v>
      </c>
      <c r="V27" s="6"/>
      <c r="W27" s="397"/>
      <c r="X27" s="397"/>
      <c r="Y27" s="6"/>
    </row>
    <row r="28" spans="1:25">
      <c r="A28" s="40" t="s">
        <v>80</v>
      </c>
      <c r="B28" s="59">
        <f>B24-B26</f>
        <v>34500</v>
      </c>
      <c r="C28" s="59">
        <f t="shared" ref="C28:U28" si="15">C24-C26</f>
        <v>17875</v>
      </c>
      <c r="D28" s="59">
        <f t="shared" si="15"/>
        <v>0</v>
      </c>
      <c r="E28" s="59">
        <f t="shared" si="15"/>
        <v>0</v>
      </c>
      <c r="F28" s="59">
        <f t="shared" si="15"/>
        <v>0</v>
      </c>
      <c r="G28" s="59">
        <f t="shared" si="15"/>
        <v>0</v>
      </c>
      <c r="H28" s="59">
        <f t="shared" si="15"/>
        <v>0</v>
      </c>
      <c r="I28" s="59">
        <f t="shared" si="15"/>
        <v>0</v>
      </c>
      <c r="J28" s="59">
        <f t="shared" si="15"/>
        <v>0</v>
      </c>
      <c r="K28" s="59">
        <f t="shared" si="15"/>
        <v>0</v>
      </c>
      <c r="L28" s="59">
        <f t="shared" si="15"/>
        <v>0</v>
      </c>
      <c r="M28" s="59">
        <f t="shared" si="15"/>
        <v>0</v>
      </c>
      <c r="N28" s="59">
        <f t="shared" si="15"/>
        <v>0</v>
      </c>
      <c r="O28" s="59">
        <f t="shared" si="15"/>
        <v>0</v>
      </c>
      <c r="P28" s="59">
        <f t="shared" si="15"/>
        <v>0</v>
      </c>
      <c r="Q28" s="59">
        <f t="shared" si="15"/>
        <v>0</v>
      </c>
      <c r="R28" s="59">
        <f t="shared" si="15"/>
        <v>0</v>
      </c>
      <c r="S28" s="59">
        <f t="shared" si="15"/>
        <v>0</v>
      </c>
      <c r="T28" s="59">
        <f t="shared" si="15"/>
        <v>0</v>
      </c>
      <c r="U28" s="59">
        <f t="shared" si="15"/>
        <v>0</v>
      </c>
      <c r="W28" s="394"/>
      <c r="X28" s="394"/>
    </row>
    <row r="29" spans="1:25">
      <c r="A29" s="40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W29" s="394"/>
      <c r="X29" s="394"/>
    </row>
    <row r="30" spans="1:25">
      <c r="A30" s="39" t="s">
        <v>18</v>
      </c>
      <c r="B30" s="6"/>
      <c r="C30" s="32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W30" s="394"/>
      <c r="X30" s="394"/>
    </row>
    <row r="31" spans="1:25">
      <c r="B31" s="310">
        <f>'Summary Output'!$B$19</f>
        <v>36892</v>
      </c>
      <c r="C31" s="310">
        <v>37257</v>
      </c>
      <c r="D31" s="310">
        <v>37622</v>
      </c>
      <c r="E31" s="310">
        <v>37987</v>
      </c>
      <c r="F31" s="310">
        <v>38353</v>
      </c>
      <c r="G31" s="310">
        <v>38718</v>
      </c>
      <c r="H31" s="310">
        <v>39083</v>
      </c>
      <c r="I31" s="310">
        <v>39448</v>
      </c>
      <c r="J31" s="310">
        <v>39814</v>
      </c>
      <c r="K31" s="310">
        <v>40179</v>
      </c>
      <c r="L31" s="310">
        <v>40544</v>
      </c>
      <c r="M31" s="310">
        <v>40909</v>
      </c>
      <c r="N31" s="310">
        <v>41275</v>
      </c>
      <c r="O31" s="310">
        <v>41640</v>
      </c>
      <c r="P31" s="310">
        <v>42005</v>
      </c>
      <c r="Q31" s="310">
        <v>42370</v>
      </c>
      <c r="R31" s="310">
        <v>42736</v>
      </c>
      <c r="S31" s="310">
        <v>43101</v>
      </c>
      <c r="T31" s="310">
        <v>43466</v>
      </c>
      <c r="U31" s="310">
        <v>43831</v>
      </c>
      <c r="W31" s="394"/>
      <c r="X31" s="394"/>
    </row>
    <row r="32" spans="1:25">
      <c r="A32" s="40" t="s">
        <v>77</v>
      </c>
      <c r="B32" s="56">
        <v>0</v>
      </c>
      <c r="C32" s="56">
        <f t="shared" ref="C32:U32" si="16">B48</f>
        <v>210000</v>
      </c>
      <c r="D32" s="56">
        <f t="shared" si="16"/>
        <v>210000</v>
      </c>
      <c r="E32" s="56">
        <f t="shared" si="16"/>
        <v>210000</v>
      </c>
      <c r="F32" s="56">
        <f t="shared" si="16"/>
        <v>192150</v>
      </c>
      <c r="G32" s="56">
        <f t="shared" si="16"/>
        <v>167580</v>
      </c>
      <c r="H32" s="56">
        <f t="shared" si="16"/>
        <v>139650</v>
      </c>
      <c r="I32" s="56">
        <f t="shared" si="16"/>
        <v>109200</v>
      </c>
      <c r="J32" s="56">
        <f t="shared" si="16"/>
        <v>74550</v>
      </c>
      <c r="K32" s="56">
        <f t="shared" si="16"/>
        <v>36540</v>
      </c>
      <c r="L32" s="56">
        <f t="shared" si="16"/>
        <v>0</v>
      </c>
      <c r="M32" s="56">
        <f t="shared" si="16"/>
        <v>0</v>
      </c>
      <c r="N32" s="56">
        <f t="shared" si="16"/>
        <v>0</v>
      </c>
      <c r="O32" s="56">
        <f t="shared" si="16"/>
        <v>0</v>
      </c>
      <c r="P32" s="56">
        <f t="shared" si="16"/>
        <v>0</v>
      </c>
      <c r="Q32" s="56">
        <f t="shared" si="16"/>
        <v>0</v>
      </c>
      <c r="R32" s="56">
        <f t="shared" si="16"/>
        <v>0</v>
      </c>
      <c r="S32" s="56">
        <f t="shared" si="16"/>
        <v>0</v>
      </c>
      <c r="T32" s="56">
        <f t="shared" si="16"/>
        <v>0</v>
      </c>
      <c r="U32" s="56">
        <f t="shared" si="16"/>
        <v>0</v>
      </c>
      <c r="W32" s="394"/>
      <c r="X32" s="394"/>
    </row>
    <row r="33" spans="1:25">
      <c r="A33" s="40" t="s">
        <v>79</v>
      </c>
      <c r="B33" s="341">
        <v>0</v>
      </c>
      <c r="C33" s="152">
        <f t="shared" ref="C33:K33" si="17">C32*$J$97*(C31-B43)/365.25</f>
        <v>63.244353182751539</v>
      </c>
      <c r="D33" s="152">
        <f t="shared" si="17"/>
        <v>63.244353182751539</v>
      </c>
      <c r="E33" s="152">
        <f t="shared" si="17"/>
        <v>63.244353182751539</v>
      </c>
      <c r="F33" s="152">
        <f t="shared" si="17"/>
        <v>57.868583162217661</v>
      </c>
      <c r="G33" s="152">
        <f t="shared" si="17"/>
        <v>50.468993839835726</v>
      </c>
      <c r="H33" s="152">
        <f t="shared" si="17"/>
        <v>42.057494866529773</v>
      </c>
      <c r="I33" s="152">
        <f t="shared" si="17"/>
        <v>32.887063655030801</v>
      </c>
      <c r="J33" s="152">
        <f t="shared" si="17"/>
        <v>22.451745379876797</v>
      </c>
      <c r="K33" s="152">
        <f t="shared" si="17"/>
        <v>11.004517453798767</v>
      </c>
      <c r="L33" s="152">
        <f t="shared" ref="L33:U33" si="18">L32*$J$97*(L31-K43)/365.25</f>
        <v>0</v>
      </c>
      <c r="M33" s="152">
        <f t="shared" si="18"/>
        <v>0</v>
      </c>
      <c r="N33" s="152">
        <f t="shared" si="18"/>
        <v>0</v>
      </c>
      <c r="O33" s="152">
        <f t="shared" si="18"/>
        <v>0</v>
      </c>
      <c r="P33" s="152">
        <f t="shared" si="18"/>
        <v>0</v>
      </c>
      <c r="Q33" s="152">
        <f t="shared" si="18"/>
        <v>0</v>
      </c>
      <c r="R33" s="152">
        <f t="shared" si="18"/>
        <v>0</v>
      </c>
      <c r="S33" s="152">
        <f t="shared" si="18"/>
        <v>0</v>
      </c>
      <c r="T33" s="152">
        <f t="shared" si="18"/>
        <v>0</v>
      </c>
      <c r="U33" s="152">
        <f t="shared" si="18"/>
        <v>0</v>
      </c>
      <c r="V33" s="6"/>
      <c r="W33" s="397"/>
      <c r="X33" s="397"/>
      <c r="Y33" s="6"/>
    </row>
    <row r="34" spans="1:25" ht="13.5">
      <c r="A34" s="40" t="s">
        <v>80</v>
      </c>
      <c r="B34" s="120">
        <f>'Summary Output'!C20</f>
        <v>210000</v>
      </c>
      <c r="C34" s="59">
        <f t="shared" ref="C34:K34" si="19">C32</f>
        <v>210000</v>
      </c>
      <c r="D34" s="59">
        <f t="shared" si="19"/>
        <v>210000</v>
      </c>
      <c r="E34" s="59">
        <f t="shared" si="19"/>
        <v>210000</v>
      </c>
      <c r="F34" s="59">
        <f t="shared" si="19"/>
        <v>192150</v>
      </c>
      <c r="G34" s="59">
        <f t="shared" si="19"/>
        <v>167580</v>
      </c>
      <c r="H34" s="59">
        <f t="shared" si="19"/>
        <v>139650</v>
      </c>
      <c r="I34" s="59">
        <f t="shared" si="19"/>
        <v>109200</v>
      </c>
      <c r="J34" s="59">
        <f t="shared" si="19"/>
        <v>74550</v>
      </c>
      <c r="K34" s="59">
        <f t="shared" si="19"/>
        <v>36540</v>
      </c>
      <c r="L34" s="59">
        <f t="shared" ref="L34:U34" si="20">L32</f>
        <v>0</v>
      </c>
      <c r="M34" s="59">
        <f t="shared" si="20"/>
        <v>0</v>
      </c>
      <c r="N34" s="59">
        <f t="shared" si="20"/>
        <v>0</v>
      </c>
      <c r="O34" s="59">
        <f t="shared" si="20"/>
        <v>0</v>
      </c>
      <c r="P34" s="59">
        <f t="shared" si="20"/>
        <v>0</v>
      </c>
      <c r="Q34" s="59">
        <f t="shared" si="20"/>
        <v>0</v>
      </c>
      <c r="R34" s="59">
        <f t="shared" si="20"/>
        <v>0</v>
      </c>
      <c r="S34" s="59">
        <f t="shared" si="20"/>
        <v>0</v>
      </c>
      <c r="T34" s="59">
        <f t="shared" si="20"/>
        <v>0</v>
      </c>
      <c r="U34" s="59">
        <f t="shared" si="20"/>
        <v>0</v>
      </c>
      <c r="V34" s="6"/>
      <c r="W34" s="395">
        <f>SUM(B39:U39,B46:U46)</f>
        <v>210000</v>
      </c>
      <c r="X34" s="396">
        <f>B34-W34</f>
        <v>0</v>
      </c>
      <c r="Y34" s="6"/>
    </row>
    <row r="35" spans="1:25">
      <c r="B35" s="331"/>
      <c r="C35" s="32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397"/>
      <c r="X35" s="397"/>
      <c r="Y35" s="6"/>
    </row>
    <row r="36" spans="1:25">
      <c r="A36" s="44"/>
      <c r="B36" s="310">
        <v>37072</v>
      </c>
      <c r="C36" s="310">
        <v>37437</v>
      </c>
      <c r="D36" s="310">
        <v>37802</v>
      </c>
      <c r="E36" s="310">
        <v>38168</v>
      </c>
      <c r="F36" s="310">
        <v>38533</v>
      </c>
      <c r="G36" s="310">
        <v>38898</v>
      </c>
      <c r="H36" s="310">
        <v>39263</v>
      </c>
      <c r="I36" s="310">
        <v>39629</v>
      </c>
      <c r="J36" s="310">
        <v>39994</v>
      </c>
      <c r="K36" s="310">
        <v>40359</v>
      </c>
      <c r="L36" s="310">
        <v>40724</v>
      </c>
      <c r="M36" s="310">
        <v>41090</v>
      </c>
      <c r="N36" s="310">
        <v>41455</v>
      </c>
      <c r="O36" s="310">
        <v>41820</v>
      </c>
      <c r="P36" s="310">
        <v>42185</v>
      </c>
      <c r="Q36" s="310">
        <v>42551</v>
      </c>
      <c r="R36" s="310">
        <v>42916</v>
      </c>
      <c r="S36" s="310">
        <v>43281</v>
      </c>
      <c r="T36" s="310">
        <v>43646</v>
      </c>
      <c r="U36" s="310">
        <v>44012</v>
      </c>
      <c r="V36" s="6"/>
      <c r="W36" s="397"/>
      <c r="X36" s="397"/>
      <c r="Y36" s="6"/>
    </row>
    <row r="37" spans="1:25">
      <c r="A37" s="40" t="s">
        <v>77</v>
      </c>
      <c r="B37" s="56">
        <f t="shared" ref="B37:K37" si="21">B34</f>
        <v>210000</v>
      </c>
      <c r="C37" s="56">
        <f t="shared" si="21"/>
        <v>210000</v>
      </c>
      <c r="D37" s="56">
        <f t="shared" si="21"/>
        <v>210000</v>
      </c>
      <c r="E37" s="56">
        <f t="shared" si="21"/>
        <v>210000</v>
      </c>
      <c r="F37" s="56">
        <f t="shared" si="21"/>
        <v>192150</v>
      </c>
      <c r="G37" s="56">
        <f t="shared" si="21"/>
        <v>167580</v>
      </c>
      <c r="H37" s="56">
        <f t="shared" si="21"/>
        <v>139650</v>
      </c>
      <c r="I37" s="56">
        <f t="shared" si="21"/>
        <v>109200</v>
      </c>
      <c r="J37" s="56">
        <f t="shared" si="21"/>
        <v>74550</v>
      </c>
      <c r="K37" s="56">
        <f t="shared" si="21"/>
        <v>36540</v>
      </c>
      <c r="L37" s="56">
        <f t="shared" ref="L37:U37" si="22">L34</f>
        <v>0</v>
      </c>
      <c r="M37" s="56">
        <f t="shared" si="22"/>
        <v>0</v>
      </c>
      <c r="N37" s="56">
        <f t="shared" si="22"/>
        <v>0</v>
      </c>
      <c r="O37" s="56">
        <f t="shared" si="22"/>
        <v>0</v>
      </c>
      <c r="P37" s="56">
        <f t="shared" si="22"/>
        <v>0</v>
      </c>
      <c r="Q37" s="56">
        <f t="shared" si="22"/>
        <v>0</v>
      </c>
      <c r="R37" s="56">
        <f t="shared" si="22"/>
        <v>0</v>
      </c>
      <c r="S37" s="56">
        <f t="shared" si="22"/>
        <v>0</v>
      </c>
      <c r="T37" s="56">
        <f t="shared" si="22"/>
        <v>0</v>
      </c>
      <c r="U37" s="56">
        <f t="shared" si="22"/>
        <v>0</v>
      </c>
      <c r="V37" s="6"/>
      <c r="W37" s="397"/>
      <c r="X37" s="397"/>
      <c r="Y37" s="6"/>
    </row>
    <row r="38" spans="1:25">
      <c r="A38" s="40" t="s">
        <v>231</v>
      </c>
      <c r="B38" s="489">
        <v>0</v>
      </c>
      <c r="C38" s="489">
        <v>0</v>
      </c>
      <c r="D38" s="489">
        <v>0</v>
      </c>
      <c r="E38" s="489">
        <v>4.2500000000000003E-2</v>
      </c>
      <c r="F38" s="489">
        <v>5.8500000000000003E-2</v>
      </c>
      <c r="G38" s="489">
        <v>6.6500000000000004E-2</v>
      </c>
      <c r="H38" s="489">
        <v>7.2499999999999995E-2</v>
      </c>
      <c r="I38" s="489">
        <v>8.2500000000000004E-2</v>
      </c>
      <c r="J38" s="489">
        <v>9.0499999999999997E-2</v>
      </c>
      <c r="K38" s="489">
        <v>0.12</v>
      </c>
      <c r="L38" s="56"/>
      <c r="M38" s="56"/>
      <c r="N38" s="56"/>
      <c r="O38" s="56"/>
      <c r="P38" s="56"/>
      <c r="Q38" s="56"/>
      <c r="R38" s="56"/>
      <c r="S38" s="56"/>
      <c r="T38" s="56"/>
      <c r="U38" s="56"/>
      <c r="W38" s="394"/>
      <c r="X38" s="394"/>
    </row>
    <row r="39" spans="1:25">
      <c r="A39" s="40" t="s">
        <v>78</v>
      </c>
      <c r="B39" s="56">
        <f>B38*$B$34</f>
        <v>0</v>
      </c>
      <c r="C39" s="56">
        <f t="shared" ref="C39:U39" si="23">C38*$B$34</f>
        <v>0</v>
      </c>
      <c r="D39" s="56">
        <f t="shared" si="23"/>
        <v>0</v>
      </c>
      <c r="E39" s="56">
        <f t="shared" si="23"/>
        <v>8925</v>
      </c>
      <c r="F39" s="56">
        <f t="shared" si="23"/>
        <v>12285</v>
      </c>
      <c r="G39" s="56">
        <f t="shared" si="23"/>
        <v>13965</v>
      </c>
      <c r="H39" s="56">
        <f t="shared" si="23"/>
        <v>15224.999999999998</v>
      </c>
      <c r="I39" s="56">
        <f t="shared" si="23"/>
        <v>17325</v>
      </c>
      <c r="J39" s="56">
        <f t="shared" si="23"/>
        <v>19005</v>
      </c>
      <c r="K39" s="56">
        <f t="shared" si="23"/>
        <v>25200</v>
      </c>
      <c r="L39" s="56">
        <f t="shared" si="23"/>
        <v>0</v>
      </c>
      <c r="M39" s="56">
        <f t="shared" si="23"/>
        <v>0</v>
      </c>
      <c r="N39" s="56">
        <f t="shared" si="23"/>
        <v>0</v>
      </c>
      <c r="O39" s="56">
        <f t="shared" si="23"/>
        <v>0</v>
      </c>
      <c r="P39" s="56">
        <f t="shared" si="23"/>
        <v>0</v>
      </c>
      <c r="Q39" s="56">
        <f t="shared" si="23"/>
        <v>0</v>
      </c>
      <c r="R39" s="56">
        <f t="shared" si="23"/>
        <v>0</v>
      </c>
      <c r="S39" s="56">
        <f t="shared" si="23"/>
        <v>0</v>
      </c>
      <c r="T39" s="56">
        <f t="shared" si="23"/>
        <v>0</v>
      </c>
      <c r="U39" s="56">
        <f t="shared" si="23"/>
        <v>0</v>
      </c>
      <c r="V39" s="6"/>
      <c r="W39" s="397"/>
      <c r="X39" s="397"/>
      <c r="Y39" s="6"/>
    </row>
    <row r="40" spans="1:25">
      <c r="A40" s="40" t="s">
        <v>79</v>
      </c>
      <c r="B40" s="152">
        <f t="shared" ref="B40:K40" si="24">B37*$J$97*(B36-B31)/365.25</f>
        <v>11383.983572895277</v>
      </c>
      <c r="C40" s="152">
        <f t="shared" si="24"/>
        <v>11383.983572895277</v>
      </c>
      <c r="D40" s="152">
        <f t="shared" si="24"/>
        <v>11383.983572895277</v>
      </c>
      <c r="E40" s="152">
        <f t="shared" si="24"/>
        <v>11447.227926078029</v>
      </c>
      <c r="F40" s="152">
        <f t="shared" si="24"/>
        <v>10416.344969199179</v>
      </c>
      <c r="G40" s="152">
        <f t="shared" si="24"/>
        <v>9084.4188911704314</v>
      </c>
      <c r="H40" s="152">
        <f t="shared" si="24"/>
        <v>7570.3490759753595</v>
      </c>
      <c r="I40" s="152">
        <f t="shared" si="24"/>
        <v>5952.5585215605752</v>
      </c>
      <c r="J40" s="152">
        <f t="shared" si="24"/>
        <v>4041.3141683778235</v>
      </c>
      <c r="K40" s="152">
        <f t="shared" si="24"/>
        <v>1980.8131416837782</v>
      </c>
      <c r="L40" s="152">
        <f t="shared" ref="L40:U40" si="25">L37*$J$97*(L36-L31)/365.25</f>
        <v>0</v>
      </c>
      <c r="M40" s="152">
        <f t="shared" si="25"/>
        <v>0</v>
      </c>
      <c r="N40" s="152">
        <f t="shared" si="25"/>
        <v>0</v>
      </c>
      <c r="O40" s="152">
        <f t="shared" si="25"/>
        <v>0</v>
      </c>
      <c r="P40" s="152">
        <f t="shared" si="25"/>
        <v>0</v>
      </c>
      <c r="Q40" s="152">
        <f t="shared" si="25"/>
        <v>0</v>
      </c>
      <c r="R40" s="152">
        <f t="shared" si="25"/>
        <v>0</v>
      </c>
      <c r="S40" s="152">
        <f t="shared" si="25"/>
        <v>0</v>
      </c>
      <c r="T40" s="152">
        <f t="shared" si="25"/>
        <v>0</v>
      </c>
      <c r="U40" s="152">
        <f t="shared" si="25"/>
        <v>0</v>
      </c>
      <c r="V40" s="6"/>
      <c r="W40" s="397"/>
      <c r="X40" s="397"/>
      <c r="Y40" s="6"/>
    </row>
    <row r="41" spans="1:25">
      <c r="A41" s="40" t="s">
        <v>80</v>
      </c>
      <c r="B41" s="59">
        <f>B37-B39</f>
        <v>210000</v>
      </c>
      <c r="C41" s="59">
        <f t="shared" ref="C41:U41" si="26">C37-C39</f>
        <v>210000</v>
      </c>
      <c r="D41" s="59">
        <f t="shared" si="26"/>
        <v>210000</v>
      </c>
      <c r="E41" s="59">
        <f t="shared" si="26"/>
        <v>201075</v>
      </c>
      <c r="F41" s="59">
        <f t="shared" si="26"/>
        <v>179865</v>
      </c>
      <c r="G41" s="59">
        <f t="shared" si="26"/>
        <v>153615</v>
      </c>
      <c r="H41" s="59">
        <f t="shared" si="26"/>
        <v>124425</v>
      </c>
      <c r="I41" s="59">
        <f t="shared" si="26"/>
        <v>91875</v>
      </c>
      <c r="J41" s="59">
        <f t="shared" si="26"/>
        <v>55545</v>
      </c>
      <c r="K41" s="59">
        <f t="shared" si="26"/>
        <v>11340</v>
      </c>
      <c r="L41" s="59">
        <f t="shared" si="26"/>
        <v>0</v>
      </c>
      <c r="M41" s="59">
        <f t="shared" si="26"/>
        <v>0</v>
      </c>
      <c r="N41" s="59">
        <f t="shared" si="26"/>
        <v>0</v>
      </c>
      <c r="O41" s="59">
        <f t="shared" si="26"/>
        <v>0</v>
      </c>
      <c r="P41" s="59">
        <f t="shared" si="26"/>
        <v>0</v>
      </c>
      <c r="Q41" s="59">
        <f t="shared" si="26"/>
        <v>0</v>
      </c>
      <c r="R41" s="59">
        <f t="shared" si="26"/>
        <v>0</v>
      </c>
      <c r="S41" s="59">
        <f t="shared" si="26"/>
        <v>0</v>
      </c>
      <c r="T41" s="59">
        <f t="shared" si="26"/>
        <v>0</v>
      </c>
      <c r="U41" s="59">
        <f t="shared" si="26"/>
        <v>0</v>
      </c>
      <c r="V41" s="6"/>
      <c r="W41" s="397"/>
      <c r="X41" s="397"/>
      <c r="Y41" s="6"/>
    </row>
    <row r="42" spans="1:25">
      <c r="A42" s="40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W42" s="394"/>
      <c r="X42" s="394"/>
    </row>
    <row r="43" spans="1:25">
      <c r="A43" s="44"/>
      <c r="B43" s="310">
        <v>37256</v>
      </c>
      <c r="C43" s="310">
        <v>37621</v>
      </c>
      <c r="D43" s="310">
        <v>37986</v>
      </c>
      <c r="E43" s="310">
        <v>38352</v>
      </c>
      <c r="F43" s="310">
        <v>38717</v>
      </c>
      <c r="G43" s="310">
        <v>39082</v>
      </c>
      <c r="H43" s="310">
        <v>39447</v>
      </c>
      <c r="I43" s="310">
        <v>39813</v>
      </c>
      <c r="J43" s="310">
        <v>40178</v>
      </c>
      <c r="K43" s="310">
        <v>40543</v>
      </c>
      <c r="L43" s="310">
        <v>40908</v>
      </c>
      <c r="M43" s="310">
        <v>41274</v>
      </c>
      <c r="N43" s="310">
        <v>41639</v>
      </c>
      <c r="O43" s="310">
        <v>42004</v>
      </c>
      <c r="P43" s="310">
        <v>42369</v>
      </c>
      <c r="Q43" s="310">
        <v>42735</v>
      </c>
      <c r="R43" s="310">
        <v>43100</v>
      </c>
      <c r="S43" s="310">
        <v>43465</v>
      </c>
      <c r="T43" s="310">
        <v>43830</v>
      </c>
      <c r="U43" s="310">
        <v>44196</v>
      </c>
      <c r="W43" s="394"/>
      <c r="X43" s="394"/>
    </row>
    <row r="44" spans="1:25">
      <c r="A44" s="40" t="s">
        <v>77</v>
      </c>
      <c r="B44" s="56">
        <f>B41</f>
        <v>210000</v>
      </c>
      <c r="C44" s="56">
        <f t="shared" ref="C44:K44" si="27">C41</f>
        <v>210000</v>
      </c>
      <c r="D44" s="56">
        <f t="shared" si="27"/>
        <v>210000</v>
      </c>
      <c r="E44" s="56">
        <f t="shared" si="27"/>
        <v>201075</v>
      </c>
      <c r="F44" s="56">
        <f t="shared" si="27"/>
        <v>179865</v>
      </c>
      <c r="G44" s="56">
        <f t="shared" si="27"/>
        <v>153615</v>
      </c>
      <c r="H44" s="56">
        <f t="shared" si="27"/>
        <v>124425</v>
      </c>
      <c r="I44" s="56">
        <f t="shared" si="27"/>
        <v>91875</v>
      </c>
      <c r="J44" s="56">
        <f t="shared" si="27"/>
        <v>55545</v>
      </c>
      <c r="K44" s="56">
        <f t="shared" si="27"/>
        <v>11340</v>
      </c>
      <c r="L44" s="56">
        <f t="shared" ref="L44:U44" si="28">L41</f>
        <v>0</v>
      </c>
      <c r="M44" s="56">
        <f t="shared" si="28"/>
        <v>0</v>
      </c>
      <c r="N44" s="56">
        <f t="shared" si="28"/>
        <v>0</v>
      </c>
      <c r="O44" s="56">
        <f t="shared" si="28"/>
        <v>0</v>
      </c>
      <c r="P44" s="56">
        <f t="shared" si="28"/>
        <v>0</v>
      </c>
      <c r="Q44" s="56">
        <f t="shared" si="28"/>
        <v>0</v>
      </c>
      <c r="R44" s="56">
        <f t="shared" si="28"/>
        <v>0</v>
      </c>
      <c r="S44" s="56">
        <f t="shared" si="28"/>
        <v>0</v>
      </c>
      <c r="T44" s="56">
        <f t="shared" si="28"/>
        <v>0</v>
      </c>
      <c r="U44" s="56">
        <f t="shared" si="28"/>
        <v>0</v>
      </c>
      <c r="W44" s="394"/>
      <c r="X44" s="394"/>
    </row>
    <row r="45" spans="1:25">
      <c r="A45" s="40" t="s">
        <v>231</v>
      </c>
      <c r="B45" s="489">
        <v>0</v>
      </c>
      <c r="C45" s="489">
        <v>0</v>
      </c>
      <c r="D45" s="489">
        <v>0</v>
      </c>
      <c r="E45" s="489">
        <v>4.2500000000000003E-2</v>
      </c>
      <c r="F45" s="489">
        <v>5.8500000000000003E-2</v>
      </c>
      <c r="G45" s="489">
        <v>6.6500000000000004E-2</v>
      </c>
      <c r="H45" s="489">
        <v>7.2499999999999995E-2</v>
      </c>
      <c r="I45" s="489">
        <v>8.2500000000000004E-2</v>
      </c>
      <c r="J45" s="489">
        <v>9.0499999999999997E-2</v>
      </c>
      <c r="K45" s="489">
        <v>5.3999999999999937E-2</v>
      </c>
      <c r="L45" s="56"/>
      <c r="M45" s="56"/>
      <c r="N45" s="56"/>
      <c r="O45" s="56"/>
      <c r="P45" s="56"/>
      <c r="Q45" s="56"/>
      <c r="R45" s="56"/>
      <c r="S45" s="56"/>
      <c r="T45" s="56"/>
      <c r="U45" s="56"/>
      <c r="W45" s="394"/>
      <c r="X45" s="394"/>
    </row>
    <row r="46" spans="1:25">
      <c r="A46" s="40" t="s">
        <v>78</v>
      </c>
      <c r="B46" s="56">
        <f t="shared" ref="B46:U46" si="29">B45*$B$34</f>
        <v>0</v>
      </c>
      <c r="C46" s="56">
        <f t="shared" si="29"/>
        <v>0</v>
      </c>
      <c r="D46" s="56">
        <f t="shared" si="29"/>
        <v>0</v>
      </c>
      <c r="E46" s="56">
        <f t="shared" si="29"/>
        <v>8925</v>
      </c>
      <c r="F46" s="56">
        <f t="shared" si="29"/>
        <v>12285</v>
      </c>
      <c r="G46" s="56">
        <f t="shared" si="29"/>
        <v>13965</v>
      </c>
      <c r="H46" s="56">
        <f t="shared" si="29"/>
        <v>15224.999999999998</v>
      </c>
      <c r="I46" s="56">
        <f t="shared" si="29"/>
        <v>17325</v>
      </c>
      <c r="J46" s="56">
        <f t="shared" si="29"/>
        <v>19005</v>
      </c>
      <c r="K46" s="56">
        <f t="shared" si="29"/>
        <v>11339.999999999987</v>
      </c>
      <c r="L46" s="56">
        <f t="shared" si="29"/>
        <v>0</v>
      </c>
      <c r="M46" s="56">
        <f t="shared" si="29"/>
        <v>0</v>
      </c>
      <c r="N46" s="56">
        <f t="shared" si="29"/>
        <v>0</v>
      </c>
      <c r="O46" s="56">
        <f t="shared" si="29"/>
        <v>0</v>
      </c>
      <c r="P46" s="56">
        <f t="shared" si="29"/>
        <v>0</v>
      </c>
      <c r="Q46" s="56">
        <f t="shared" si="29"/>
        <v>0</v>
      </c>
      <c r="R46" s="56">
        <f t="shared" si="29"/>
        <v>0</v>
      </c>
      <c r="S46" s="56">
        <f t="shared" si="29"/>
        <v>0</v>
      </c>
      <c r="T46" s="56">
        <f t="shared" si="29"/>
        <v>0</v>
      </c>
      <c r="U46" s="56">
        <f t="shared" si="29"/>
        <v>0</v>
      </c>
      <c r="W46" s="394"/>
      <c r="X46" s="394"/>
    </row>
    <row r="47" spans="1:25">
      <c r="A47" s="40" t="s">
        <v>79</v>
      </c>
      <c r="B47" s="152">
        <f>B44*$J$97*(B43-B36)/365.25</f>
        <v>11636.960985626283</v>
      </c>
      <c r="C47" s="152">
        <f t="shared" ref="C47:K47" si="30">C44*$J$97*(C43-C36)/365.25</f>
        <v>11636.960985626283</v>
      </c>
      <c r="D47" s="152">
        <f t="shared" si="30"/>
        <v>11636.960985626283</v>
      </c>
      <c r="E47" s="152">
        <f t="shared" si="30"/>
        <v>11142.390143737166</v>
      </c>
      <c r="F47" s="152">
        <f t="shared" si="30"/>
        <v>9967.0570841889112</v>
      </c>
      <c r="G47" s="152">
        <f t="shared" si="30"/>
        <v>8512.4369609856258</v>
      </c>
      <c r="H47" s="152">
        <f t="shared" si="30"/>
        <v>6894.899383983573</v>
      </c>
      <c r="I47" s="152">
        <f t="shared" si="30"/>
        <v>5091.1704312114989</v>
      </c>
      <c r="J47" s="152">
        <f t="shared" si="30"/>
        <v>3077.9761806981519</v>
      </c>
      <c r="K47" s="152">
        <f t="shared" si="30"/>
        <v>628.39589322381937</v>
      </c>
      <c r="L47" s="152">
        <f t="shared" ref="L47:U47" si="31">L44*$J$97*(L43-L36)/365.25</f>
        <v>0</v>
      </c>
      <c r="M47" s="152">
        <f t="shared" si="31"/>
        <v>0</v>
      </c>
      <c r="N47" s="152">
        <f t="shared" si="31"/>
        <v>0</v>
      </c>
      <c r="O47" s="152">
        <f t="shared" si="31"/>
        <v>0</v>
      </c>
      <c r="P47" s="152">
        <f t="shared" si="31"/>
        <v>0</v>
      </c>
      <c r="Q47" s="152">
        <f t="shared" si="31"/>
        <v>0</v>
      </c>
      <c r="R47" s="152">
        <f t="shared" si="31"/>
        <v>0</v>
      </c>
      <c r="S47" s="152">
        <f t="shared" si="31"/>
        <v>0</v>
      </c>
      <c r="T47" s="152">
        <f t="shared" si="31"/>
        <v>0</v>
      </c>
      <c r="U47" s="152">
        <f t="shared" si="31"/>
        <v>0</v>
      </c>
      <c r="W47" s="394"/>
      <c r="X47" s="394"/>
    </row>
    <row r="48" spans="1:25">
      <c r="A48" s="40" t="s">
        <v>80</v>
      </c>
      <c r="B48" s="59">
        <f>B44-B46</f>
        <v>210000</v>
      </c>
      <c r="C48" s="59">
        <f t="shared" ref="C48:U48" si="32">C44-C46</f>
        <v>210000</v>
      </c>
      <c r="D48" s="59">
        <f t="shared" si="32"/>
        <v>210000</v>
      </c>
      <c r="E48" s="59">
        <f t="shared" si="32"/>
        <v>192150</v>
      </c>
      <c r="F48" s="59">
        <f t="shared" si="32"/>
        <v>167580</v>
      </c>
      <c r="G48" s="59">
        <f t="shared" si="32"/>
        <v>139650</v>
      </c>
      <c r="H48" s="59">
        <f t="shared" si="32"/>
        <v>109200</v>
      </c>
      <c r="I48" s="59">
        <f t="shared" si="32"/>
        <v>74550</v>
      </c>
      <c r="J48" s="59">
        <f t="shared" si="32"/>
        <v>36540</v>
      </c>
      <c r="K48" s="59">
        <f t="shared" si="32"/>
        <v>0</v>
      </c>
      <c r="L48" s="59">
        <f t="shared" si="32"/>
        <v>0</v>
      </c>
      <c r="M48" s="59">
        <f t="shared" si="32"/>
        <v>0</v>
      </c>
      <c r="N48" s="59">
        <f t="shared" si="32"/>
        <v>0</v>
      </c>
      <c r="O48" s="59">
        <f t="shared" si="32"/>
        <v>0</v>
      </c>
      <c r="P48" s="59">
        <f t="shared" si="32"/>
        <v>0</v>
      </c>
      <c r="Q48" s="59">
        <f t="shared" si="32"/>
        <v>0</v>
      </c>
      <c r="R48" s="59">
        <f t="shared" si="32"/>
        <v>0</v>
      </c>
      <c r="S48" s="59">
        <f t="shared" si="32"/>
        <v>0</v>
      </c>
      <c r="T48" s="59">
        <f t="shared" si="32"/>
        <v>0</v>
      </c>
      <c r="U48" s="59">
        <f t="shared" si="32"/>
        <v>0</v>
      </c>
      <c r="W48" s="394"/>
      <c r="X48" s="394"/>
    </row>
    <row r="49" spans="1:24">
      <c r="A49" s="40"/>
      <c r="B49" s="331"/>
      <c r="C49" s="331"/>
      <c r="D49" s="331"/>
      <c r="E49" s="331"/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331"/>
      <c r="S49" s="331"/>
      <c r="T49" s="331"/>
      <c r="U49" s="331"/>
      <c r="W49" s="394"/>
      <c r="X49" s="394"/>
    </row>
    <row r="50" spans="1:24">
      <c r="A50" s="39" t="s">
        <v>19</v>
      </c>
      <c r="B50" s="6"/>
      <c r="C50" s="32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W50" s="394"/>
      <c r="X50" s="394"/>
    </row>
    <row r="51" spans="1:24">
      <c r="B51" s="310">
        <f>'Summary Output'!$B$19</f>
        <v>36892</v>
      </c>
      <c r="C51" s="310">
        <v>37257</v>
      </c>
      <c r="D51" s="310">
        <v>37622</v>
      </c>
      <c r="E51" s="310">
        <v>37987</v>
      </c>
      <c r="F51" s="310">
        <v>38353</v>
      </c>
      <c r="G51" s="310">
        <v>38718</v>
      </c>
      <c r="H51" s="310">
        <v>39083</v>
      </c>
      <c r="I51" s="310">
        <v>39448</v>
      </c>
      <c r="J51" s="310">
        <v>39814</v>
      </c>
      <c r="K51" s="310">
        <v>40179</v>
      </c>
      <c r="L51" s="310">
        <v>40544</v>
      </c>
      <c r="M51" s="310">
        <v>40909</v>
      </c>
      <c r="N51" s="310">
        <v>41275</v>
      </c>
      <c r="O51" s="310">
        <v>41640</v>
      </c>
      <c r="P51" s="310">
        <v>42005</v>
      </c>
      <c r="Q51" s="310">
        <v>42370</v>
      </c>
      <c r="R51" s="310">
        <v>42736</v>
      </c>
      <c r="S51" s="310">
        <v>43101</v>
      </c>
      <c r="T51" s="310">
        <v>43466</v>
      </c>
      <c r="U51" s="310">
        <v>43831</v>
      </c>
      <c r="W51" s="394"/>
      <c r="X51" s="394"/>
    </row>
    <row r="52" spans="1:24">
      <c r="A52" s="40" t="s">
        <v>77</v>
      </c>
      <c r="B52" s="56">
        <v>0</v>
      </c>
      <c r="C52" s="56">
        <f>B68</f>
        <v>475000</v>
      </c>
      <c r="D52" s="56">
        <f t="shared" ref="D52:U52" si="33">C68</f>
        <v>475000</v>
      </c>
      <c r="E52" s="56">
        <f t="shared" si="33"/>
        <v>475000</v>
      </c>
      <c r="F52" s="56">
        <f t="shared" si="33"/>
        <v>475000</v>
      </c>
      <c r="G52" s="56">
        <f t="shared" si="33"/>
        <v>475000</v>
      </c>
      <c r="H52" s="56">
        <f t="shared" si="33"/>
        <v>475000</v>
      </c>
      <c r="I52" s="56">
        <f t="shared" si="33"/>
        <v>475000</v>
      </c>
      <c r="J52" s="56">
        <f t="shared" si="33"/>
        <v>475000</v>
      </c>
      <c r="K52" s="56">
        <f t="shared" si="33"/>
        <v>475000</v>
      </c>
      <c r="L52" s="56">
        <f t="shared" si="33"/>
        <v>467875</v>
      </c>
      <c r="M52" s="56">
        <f t="shared" si="33"/>
        <v>420375</v>
      </c>
      <c r="N52" s="56">
        <f t="shared" si="33"/>
        <v>372875</v>
      </c>
      <c r="O52" s="56">
        <f t="shared" si="33"/>
        <v>325375</v>
      </c>
      <c r="P52" s="56">
        <f t="shared" si="33"/>
        <v>277875</v>
      </c>
      <c r="Q52" s="56">
        <f t="shared" si="33"/>
        <v>228000</v>
      </c>
      <c r="R52" s="56">
        <f t="shared" si="33"/>
        <v>175750</v>
      </c>
      <c r="S52" s="56">
        <f t="shared" si="33"/>
        <v>123500</v>
      </c>
      <c r="T52" s="56">
        <f t="shared" si="33"/>
        <v>80750</v>
      </c>
      <c r="U52" s="56">
        <f t="shared" si="33"/>
        <v>38000</v>
      </c>
      <c r="W52" s="394"/>
      <c r="X52" s="394"/>
    </row>
    <row r="53" spans="1:24">
      <c r="A53" s="265" t="s">
        <v>79</v>
      </c>
      <c r="B53" s="341">
        <v>0</v>
      </c>
      <c r="C53" s="152">
        <f t="shared" ref="C53:U53" si="34">C52*$O$97*(C51-B63)/365.25</f>
        <v>145.65366187542779</v>
      </c>
      <c r="D53" s="152">
        <f t="shared" si="34"/>
        <v>145.65366187542779</v>
      </c>
      <c r="E53" s="152">
        <f t="shared" si="34"/>
        <v>145.65366187542779</v>
      </c>
      <c r="F53" s="152">
        <f t="shared" si="34"/>
        <v>145.65366187542779</v>
      </c>
      <c r="G53" s="152">
        <f t="shared" si="34"/>
        <v>145.65366187542779</v>
      </c>
      <c r="H53" s="152">
        <f t="shared" si="34"/>
        <v>145.65366187542779</v>
      </c>
      <c r="I53" s="152">
        <f t="shared" si="34"/>
        <v>145.65366187542779</v>
      </c>
      <c r="J53" s="152">
        <f t="shared" si="34"/>
        <v>145.65366187542779</v>
      </c>
      <c r="K53" s="152">
        <f t="shared" si="34"/>
        <v>145.65366187542779</v>
      </c>
      <c r="L53" s="152">
        <f t="shared" si="34"/>
        <v>143.46885694729636</v>
      </c>
      <c r="M53" s="152">
        <f t="shared" si="34"/>
        <v>128.90349075975359</v>
      </c>
      <c r="N53" s="152">
        <f t="shared" si="34"/>
        <v>114.33812457221082</v>
      </c>
      <c r="O53" s="152">
        <f t="shared" si="34"/>
        <v>99.772758384668037</v>
      </c>
      <c r="P53" s="152">
        <f t="shared" si="34"/>
        <v>85.207392197125259</v>
      </c>
      <c r="Q53" s="152">
        <f t="shared" si="34"/>
        <v>69.913757700205338</v>
      </c>
      <c r="R53" s="152">
        <f t="shared" si="34"/>
        <v>53.891854893908281</v>
      </c>
      <c r="S53" s="152">
        <f t="shared" si="34"/>
        <v>37.869952087611225</v>
      </c>
      <c r="T53" s="152">
        <f t="shared" si="34"/>
        <v>24.761122518822724</v>
      </c>
      <c r="U53" s="152">
        <f t="shared" si="34"/>
        <v>11.652292950034223</v>
      </c>
      <c r="W53" s="394"/>
      <c r="X53" s="394"/>
    </row>
    <row r="54" spans="1:24" ht="13.5">
      <c r="A54" s="265" t="s">
        <v>80</v>
      </c>
      <c r="B54" s="120">
        <f>'Summary Output'!D20</f>
        <v>475000</v>
      </c>
      <c r="C54" s="59">
        <f>C52</f>
        <v>475000</v>
      </c>
      <c r="D54" s="59">
        <f t="shared" ref="D54:U54" si="35">D52</f>
        <v>475000</v>
      </c>
      <c r="E54" s="59">
        <f t="shared" si="35"/>
        <v>475000</v>
      </c>
      <c r="F54" s="59">
        <f t="shared" si="35"/>
        <v>475000</v>
      </c>
      <c r="G54" s="59">
        <f t="shared" si="35"/>
        <v>475000</v>
      </c>
      <c r="H54" s="59">
        <f t="shared" si="35"/>
        <v>475000</v>
      </c>
      <c r="I54" s="59">
        <f t="shared" si="35"/>
        <v>475000</v>
      </c>
      <c r="J54" s="59">
        <f t="shared" si="35"/>
        <v>475000</v>
      </c>
      <c r="K54" s="59">
        <f t="shared" si="35"/>
        <v>475000</v>
      </c>
      <c r="L54" s="59">
        <f t="shared" si="35"/>
        <v>467875</v>
      </c>
      <c r="M54" s="59">
        <f t="shared" si="35"/>
        <v>420375</v>
      </c>
      <c r="N54" s="59">
        <f t="shared" si="35"/>
        <v>372875</v>
      </c>
      <c r="O54" s="59">
        <f t="shared" si="35"/>
        <v>325375</v>
      </c>
      <c r="P54" s="59">
        <f t="shared" si="35"/>
        <v>277875</v>
      </c>
      <c r="Q54" s="59">
        <f t="shared" si="35"/>
        <v>228000</v>
      </c>
      <c r="R54" s="59">
        <f t="shared" si="35"/>
        <v>175750</v>
      </c>
      <c r="S54" s="59">
        <f t="shared" si="35"/>
        <v>123500</v>
      </c>
      <c r="T54" s="59">
        <f t="shared" si="35"/>
        <v>80750</v>
      </c>
      <c r="U54" s="59">
        <f t="shared" si="35"/>
        <v>38000</v>
      </c>
      <c r="W54" s="395">
        <f>SUM(B59:U59,B66:U66)</f>
        <v>475000.00000000006</v>
      </c>
      <c r="X54" s="396">
        <f>B54-W54</f>
        <v>0</v>
      </c>
    </row>
    <row r="55" spans="1:24">
      <c r="B55" s="331"/>
      <c r="C55" s="32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W55" s="394"/>
      <c r="X55" s="394"/>
    </row>
    <row r="56" spans="1:24">
      <c r="A56" s="329"/>
      <c r="B56" s="310">
        <v>37072</v>
      </c>
      <c r="C56" s="310">
        <v>37437</v>
      </c>
      <c r="D56" s="310">
        <v>37802</v>
      </c>
      <c r="E56" s="310">
        <v>38168</v>
      </c>
      <c r="F56" s="310">
        <v>38533</v>
      </c>
      <c r="G56" s="310">
        <v>38898</v>
      </c>
      <c r="H56" s="310">
        <v>39263</v>
      </c>
      <c r="I56" s="310">
        <v>39629</v>
      </c>
      <c r="J56" s="310">
        <v>39994</v>
      </c>
      <c r="K56" s="310">
        <v>40359</v>
      </c>
      <c r="L56" s="310">
        <v>40724</v>
      </c>
      <c r="M56" s="310">
        <v>41090</v>
      </c>
      <c r="N56" s="310">
        <v>41455</v>
      </c>
      <c r="O56" s="310">
        <v>41820</v>
      </c>
      <c r="P56" s="310">
        <v>42185</v>
      </c>
      <c r="Q56" s="310">
        <v>42551</v>
      </c>
      <c r="R56" s="310">
        <v>42916</v>
      </c>
      <c r="S56" s="310">
        <v>43281</v>
      </c>
      <c r="T56" s="310">
        <v>43646</v>
      </c>
      <c r="U56" s="310">
        <v>44012</v>
      </c>
      <c r="W56" s="394"/>
      <c r="X56" s="394"/>
    </row>
    <row r="57" spans="1:24">
      <c r="A57" s="265" t="s">
        <v>77</v>
      </c>
      <c r="B57" s="56">
        <f>B54</f>
        <v>475000</v>
      </c>
      <c r="C57" s="56">
        <f>C54</f>
        <v>475000</v>
      </c>
      <c r="D57" s="56">
        <f t="shared" ref="D57:U57" si="36">D54</f>
        <v>475000</v>
      </c>
      <c r="E57" s="56">
        <f t="shared" si="36"/>
        <v>475000</v>
      </c>
      <c r="F57" s="56">
        <f t="shared" si="36"/>
        <v>475000</v>
      </c>
      <c r="G57" s="56">
        <f t="shared" si="36"/>
        <v>475000</v>
      </c>
      <c r="H57" s="56">
        <f t="shared" si="36"/>
        <v>475000</v>
      </c>
      <c r="I57" s="56">
        <f t="shared" si="36"/>
        <v>475000</v>
      </c>
      <c r="J57" s="56">
        <f t="shared" si="36"/>
        <v>475000</v>
      </c>
      <c r="K57" s="56">
        <f t="shared" si="36"/>
        <v>475000</v>
      </c>
      <c r="L57" s="56">
        <f t="shared" si="36"/>
        <v>467875</v>
      </c>
      <c r="M57" s="56">
        <f t="shared" si="36"/>
        <v>420375</v>
      </c>
      <c r="N57" s="56">
        <f t="shared" si="36"/>
        <v>372875</v>
      </c>
      <c r="O57" s="56">
        <f t="shared" si="36"/>
        <v>325375</v>
      </c>
      <c r="P57" s="56">
        <f t="shared" si="36"/>
        <v>277875</v>
      </c>
      <c r="Q57" s="56">
        <f t="shared" si="36"/>
        <v>228000</v>
      </c>
      <c r="R57" s="56">
        <f t="shared" si="36"/>
        <v>175750</v>
      </c>
      <c r="S57" s="56">
        <f t="shared" si="36"/>
        <v>123500</v>
      </c>
      <c r="T57" s="56">
        <f t="shared" si="36"/>
        <v>80750</v>
      </c>
      <c r="U57" s="56">
        <f t="shared" si="36"/>
        <v>38000</v>
      </c>
      <c r="W57" s="394"/>
      <c r="X57" s="394"/>
    </row>
    <row r="58" spans="1:24">
      <c r="A58" s="40" t="s">
        <v>231</v>
      </c>
      <c r="B58" s="489">
        <v>0</v>
      </c>
      <c r="C58" s="489">
        <v>0</v>
      </c>
      <c r="D58" s="489">
        <v>0</v>
      </c>
      <c r="E58" s="489">
        <v>0</v>
      </c>
      <c r="F58" s="489">
        <v>0</v>
      </c>
      <c r="G58" s="489">
        <v>0</v>
      </c>
      <c r="H58" s="489">
        <v>0</v>
      </c>
      <c r="I58" s="489">
        <v>0</v>
      </c>
      <c r="J58" s="489">
        <v>0</v>
      </c>
      <c r="K58" s="489">
        <v>0</v>
      </c>
      <c r="L58" s="489">
        <v>0.05</v>
      </c>
      <c r="M58" s="489">
        <v>0.05</v>
      </c>
      <c r="N58" s="489">
        <v>0.05</v>
      </c>
      <c r="O58" s="489">
        <v>0.05</v>
      </c>
      <c r="P58" s="489">
        <v>5.2499999999999998E-2</v>
      </c>
      <c r="Q58" s="489">
        <v>5.5E-2</v>
      </c>
      <c r="R58" s="489">
        <v>5.5E-2</v>
      </c>
      <c r="S58" s="489">
        <v>4.4999999999999998E-2</v>
      </c>
      <c r="T58" s="489">
        <v>4.4999999999999998E-2</v>
      </c>
      <c r="U58" s="489">
        <v>4.4999999999999998E-2</v>
      </c>
      <c r="W58" s="394"/>
      <c r="X58" s="394"/>
    </row>
    <row r="59" spans="1:24">
      <c r="A59" s="265" t="s">
        <v>78</v>
      </c>
      <c r="B59" s="56">
        <f>$B$54*B58</f>
        <v>0</v>
      </c>
      <c r="C59" s="56">
        <f t="shared" ref="C59:U59" si="37">$B$54*C58</f>
        <v>0</v>
      </c>
      <c r="D59" s="56">
        <f t="shared" si="37"/>
        <v>0</v>
      </c>
      <c r="E59" s="56">
        <f t="shared" si="37"/>
        <v>0</v>
      </c>
      <c r="F59" s="56">
        <f t="shared" si="37"/>
        <v>0</v>
      </c>
      <c r="G59" s="56">
        <f t="shared" si="37"/>
        <v>0</v>
      </c>
      <c r="H59" s="56">
        <f t="shared" si="37"/>
        <v>0</v>
      </c>
      <c r="I59" s="56">
        <f t="shared" si="37"/>
        <v>0</v>
      </c>
      <c r="J59" s="56">
        <f t="shared" si="37"/>
        <v>0</v>
      </c>
      <c r="K59" s="56">
        <f t="shared" si="37"/>
        <v>0</v>
      </c>
      <c r="L59" s="56">
        <f t="shared" si="37"/>
        <v>23750</v>
      </c>
      <c r="M59" s="56">
        <f t="shared" si="37"/>
        <v>23750</v>
      </c>
      <c r="N59" s="56">
        <f t="shared" si="37"/>
        <v>23750</v>
      </c>
      <c r="O59" s="56">
        <f t="shared" si="37"/>
        <v>23750</v>
      </c>
      <c r="P59" s="56">
        <f t="shared" si="37"/>
        <v>24937.5</v>
      </c>
      <c r="Q59" s="56">
        <f t="shared" si="37"/>
        <v>26125</v>
      </c>
      <c r="R59" s="56">
        <f t="shared" si="37"/>
        <v>26125</v>
      </c>
      <c r="S59" s="56">
        <f t="shared" si="37"/>
        <v>21375</v>
      </c>
      <c r="T59" s="56">
        <f t="shared" si="37"/>
        <v>21375</v>
      </c>
      <c r="U59" s="56">
        <f t="shared" si="37"/>
        <v>21375</v>
      </c>
      <c r="W59" s="38"/>
      <c r="X59" s="38"/>
    </row>
    <row r="60" spans="1:24">
      <c r="A60" s="40" t="s">
        <v>79</v>
      </c>
      <c r="B60" s="152">
        <f t="shared" ref="B60:U60" si="38">B57*$O$97*(B56-B51)/365.25</f>
        <v>26217.659137577</v>
      </c>
      <c r="C60" s="152">
        <f t="shared" si="38"/>
        <v>26217.659137577</v>
      </c>
      <c r="D60" s="152">
        <f t="shared" si="38"/>
        <v>26217.659137577</v>
      </c>
      <c r="E60" s="152">
        <f t="shared" si="38"/>
        <v>26363.312799452429</v>
      </c>
      <c r="F60" s="152">
        <f t="shared" si="38"/>
        <v>26217.659137577</v>
      </c>
      <c r="G60" s="152">
        <f t="shared" si="38"/>
        <v>26217.659137577</v>
      </c>
      <c r="H60" s="152">
        <f t="shared" si="38"/>
        <v>26217.659137577</v>
      </c>
      <c r="I60" s="152">
        <f t="shared" si="38"/>
        <v>26363.312799452429</v>
      </c>
      <c r="J60" s="152">
        <f t="shared" si="38"/>
        <v>26217.659137577</v>
      </c>
      <c r="K60" s="152">
        <f t="shared" si="38"/>
        <v>26217.659137577</v>
      </c>
      <c r="L60" s="152">
        <f t="shared" si="38"/>
        <v>25824.394250513345</v>
      </c>
      <c r="M60" s="152">
        <f t="shared" si="38"/>
        <v>23331.531827515399</v>
      </c>
      <c r="N60" s="152">
        <f t="shared" si="38"/>
        <v>20580.862422997947</v>
      </c>
      <c r="O60" s="152">
        <f t="shared" si="38"/>
        <v>17959.096509240248</v>
      </c>
      <c r="P60" s="152">
        <f t="shared" si="38"/>
        <v>15337.330595482546</v>
      </c>
      <c r="Q60" s="152">
        <f t="shared" si="38"/>
        <v>12654.390143737166</v>
      </c>
      <c r="R60" s="152">
        <f t="shared" si="38"/>
        <v>9700.5338809034911</v>
      </c>
      <c r="S60" s="152">
        <f t="shared" si="38"/>
        <v>6816.5913757700209</v>
      </c>
      <c r="T60" s="152">
        <f t="shared" si="38"/>
        <v>4457.0020533880906</v>
      </c>
      <c r="U60" s="152">
        <f t="shared" si="38"/>
        <v>2109.0650239561942</v>
      </c>
      <c r="W60" s="38"/>
      <c r="X60" s="38"/>
    </row>
    <row r="61" spans="1:24">
      <c r="A61" s="40" t="s">
        <v>80</v>
      </c>
      <c r="B61" s="59">
        <f>B57-B59</f>
        <v>475000</v>
      </c>
      <c r="C61" s="59">
        <f t="shared" ref="C61:U61" si="39">C57-C59</f>
        <v>475000</v>
      </c>
      <c r="D61" s="59">
        <f t="shared" si="39"/>
        <v>475000</v>
      </c>
      <c r="E61" s="59">
        <f t="shared" si="39"/>
        <v>475000</v>
      </c>
      <c r="F61" s="59">
        <f t="shared" si="39"/>
        <v>475000</v>
      </c>
      <c r="G61" s="59">
        <f t="shared" si="39"/>
        <v>475000</v>
      </c>
      <c r="H61" s="59">
        <f t="shared" si="39"/>
        <v>475000</v>
      </c>
      <c r="I61" s="59">
        <f t="shared" si="39"/>
        <v>475000</v>
      </c>
      <c r="J61" s="59">
        <f t="shared" si="39"/>
        <v>475000</v>
      </c>
      <c r="K61" s="59">
        <f t="shared" si="39"/>
        <v>475000</v>
      </c>
      <c r="L61" s="59">
        <f t="shared" si="39"/>
        <v>444125</v>
      </c>
      <c r="M61" s="59">
        <f t="shared" si="39"/>
        <v>396625</v>
      </c>
      <c r="N61" s="59">
        <f t="shared" si="39"/>
        <v>349125</v>
      </c>
      <c r="O61" s="59">
        <f t="shared" si="39"/>
        <v>301625</v>
      </c>
      <c r="P61" s="59">
        <f t="shared" si="39"/>
        <v>252937.5</v>
      </c>
      <c r="Q61" s="59">
        <f t="shared" si="39"/>
        <v>201875</v>
      </c>
      <c r="R61" s="59">
        <f t="shared" si="39"/>
        <v>149625</v>
      </c>
      <c r="S61" s="59">
        <f t="shared" si="39"/>
        <v>102125</v>
      </c>
      <c r="T61" s="59">
        <f t="shared" si="39"/>
        <v>59375</v>
      </c>
      <c r="U61" s="59">
        <f t="shared" si="39"/>
        <v>16625</v>
      </c>
      <c r="W61" s="38"/>
      <c r="X61" s="38"/>
    </row>
    <row r="62" spans="1:24">
      <c r="A62" s="40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W62" s="38"/>
      <c r="X62" s="38"/>
    </row>
    <row r="63" spans="1:24">
      <c r="A63" s="44"/>
      <c r="B63" s="310">
        <v>37256</v>
      </c>
      <c r="C63" s="310">
        <v>37621</v>
      </c>
      <c r="D63" s="310">
        <v>37986</v>
      </c>
      <c r="E63" s="310">
        <v>38352</v>
      </c>
      <c r="F63" s="310">
        <v>38717</v>
      </c>
      <c r="G63" s="310">
        <v>39082</v>
      </c>
      <c r="H63" s="310">
        <v>39447</v>
      </c>
      <c r="I63" s="310">
        <v>39813</v>
      </c>
      <c r="J63" s="310">
        <v>40178</v>
      </c>
      <c r="K63" s="310">
        <v>40543</v>
      </c>
      <c r="L63" s="310">
        <v>40908</v>
      </c>
      <c r="M63" s="310">
        <v>41274</v>
      </c>
      <c r="N63" s="310">
        <v>41639</v>
      </c>
      <c r="O63" s="310">
        <v>42004</v>
      </c>
      <c r="P63" s="310">
        <v>42369</v>
      </c>
      <c r="Q63" s="310">
        <v>42735</v>
      </c>
      <c r="R63" s="310">
        <v>43100</v>
      </c>
      <c r="S63" s="310">
        <v>43465</v>
      </c>
      <c r="T63" s="310">
        <v>43830</v>
      </c>
      <c r="U63" s="310">
        <v>44196</v>
      </c>
      <c r="W63" s="38"/>
      <c r="X63" s="38"/>
    </row>
    <row r="64" spans="1:24">
      <c r="A64" s="40" t="s">
        <v>77</v>
      </c>
      <c r="B64" s="56">
        <f>B61</f>
        <v>475000</v>
      </c>
      <c r="C64" s="56">
        <f t="shared" ref="C64:U64" si="40">C61</f>
        <v>475000</v>
      </c>
      <c r="D64" s="56">
        <f t="shared" si="40"/>
        <v>475000</v>
      </c>
      <c r="E64" s="56">
        <f t="shared" si="40"/>
        <v>475000</v>
      </c>
      <c r="F64" s="56">
        <f t="shared" si="40"/>
        <v>475000</v>
      </c>
      <c r="G64" s="56">
        <f t="shared" si="40"/>
        <v>475000</v>
      </c>
      <c r="H64" s="56">
        <f t="shared" si="40"/>
        <v>475000</v>
      </c>
      <c r="I64" s="56">
        <f t="shared" si="40"/>
        <v>475000</v>
      </c>
      <c r="J64" s="56">
        <f t="shared" si="40"/>
        <v>475000</v>
      </c>
      <c r="K64" s="56">
        <f t="shared" si="40"/>
        <v>475000</v>
      </c>
      <c r="L64" s="56">
        <f t="shared" si="40"/>
        <v>444125</v>
      </c>
      <c r="M64" s="56">
        <f t="shared" si="40"/>
        <v>396625</v>
      </c>
      <c r="N64" s="56">
        <f t="shared" si="40"/>
        <v>349125</v>
      </c>
      <c r="O64" s="56">
        <f t="shared" si="40"/>
        <v>301625</v>
      </c>
      <c r="P64" s="56">
        <f t="shared" si="40"/>
        <v>252937.5</v>
      </c>
      <c r="Q64" s="56">
        <f t="shared" si="40"/>
        <v>201875</v>
      </c>
      <c r="R64" s="56">
        <f t="shared" si="40"/>
        <v>149625</v>
      </c>
      <c r="S64" s="56">
        <f t="shared" si="40"/>
        <v>102125</v>
      </c>
      <c r="T64" s="56">
        <f t="shared" si="40"/>
        <v>59375</v>
      </c>
      <c r="U64" s="56">
        <f t="shared" si="40"/>
        <v>16625</v>
      </c>
      <c r="W64" s="38"/>
      <c r="X64" s="38"/>
    </row>
    <row r="65" spans="1:26">
      <c r="A65" s="40" t="s">
        <v>231</v>
      </c>
      <c r="B65" s="489">
        <v>0</v>
      </c>
      <c r="C65" s="489">
        <v>0</v>
      </c>
      <c r="D65" s="489">
        <v>0</v>
      </c>
      <c r="E65" s="489">
        <v>0</v>
      </c>
      <c r="F65" s="489">
        <v>0</v>
      </c>
      <c r="G65" s="489">
        <v>0</v>
      </c>
      <c r="H65" s="489">
        <v>0</v>
      </c>
      <c r="I65" s="489">
        <v>0</v>
      </c>
      <c r="J65" s="489">
        <v>0</v>
      </c>
      <c r="K65" s="489">
        <v>1.4999999999999999E-2</v>
      </c>
      <c r="L65" s="489">
        <v>0.05</v>
      </c>
      <c r="M65" s="489">
        <v>0.05</v>
      </c>
      <c r="N65" s="489">
        <v>0.05</v>
      </c>
      <c r="O65" s="489">
        <v>0.05</v>
      </c>
      <c r="P65" s="489">
        <v>5.2499999999999998E-2</v>
      </c>
      <c r="Q65" s="489">
        <v>5.5E-2</v>
      </c>
      <c r="R65" s="489">
        <v>5.5E-2</v>
      </c>
      <c r="S65" s="489">
        <v>4.4999999999999998E-2</v>
      </c>
      <c r="T65" s="489">
        <v>4.4999999999999998E-2</v>
      </c>
      <c r="U65" s="489">
        <v>3.5000000000000087E-2</v>
      </c>
      <c r="W65" s="394"/>
      <c r="X65" s="394"/>
    </row>
    <row r="66" spans="1:26">
      <c r="A66" s="265" t="s">
        <v>78</v>
      </c>
      <c r="B66" s="56">
        <f>B65*$B$54</f>
        <v>0</v>
      </c>
      <c r="C66" s="56">
        <f t="shared" ref="C66:U66" si="41">C65*$B$54</f>
        <v>0</v>
      </c>
      <c r="D66" s="56">
        <f t="shared" si="41"/>
        <v>0</v>
      </c>
      <c r="E66" s="56">
        <f t="shared" si="41"/>
        <v>0</v>
      </c>
      <c r="F66" s="56">
        <f t="shared" si="41"/>
        <v>0</v>
      </c>
      <c r="G66" s="56">
        <f t="shared" si="41"/>
        <v>0</v>
      </c>
      <c r="H66" s="56">
        <f t="shared" si="41"/>
        <v>0</v>
      </c>
      <c r="I66" s="56">
        <f t="shared" si="41"/>
        <v>0</v>
      </c>
      <c r="J66" s="56">
        <f t="shared" si="41"/>
        <v>0</v>
      </c>
      <c r="K66" s="56">
        <f t="shared" si="41"/>
        <v>7125</v>
      </c>
      <c r="L66" s="56">
        <f t="shared" si="41"/>
        <v>23750</v>
      </c>
      <c r="M66" s="56">
        <f t="shared" si="41"/>
        <v>23750</v>
      </c>
      <c r="N66" s="56">
        <f t="shared" si="41"/>
        <v>23750</v>
      </c>
      <c r="O66" s="56">
        <f t="shared" si="41"/>
        <v>23750</v>
      </c>
      <c r="P66" s="56">
        <f t="shared" si="41"/>
        <v>24937.5</v>
      </c>
      <c r="Q66" s="56">
        <f t="shared" si="41"/>
        <v>26125</v>
      </c>
      <c r="R66" s="56">
        <f t="shared" si="41"/>
        <v>26125</v>
      </c>
      <c r="S66" s="56">
        <f t="shared" si="41"/>
        <v>21375</v>
      </c>
      <c r="T66" s="56">
        <f t="shared" si="41"/>
        <v>21375</v>
      </c>
      <c r="U66" s="56">
        <f t="shared" si="41"/>
        <v>16625.00000000004</v>
      </c>
      <c r="W66" s="38"/>
      <c r="X66" s="38"/>
    </row>
    <row r="67" spans="1:26">
      <c r="A67" s="40" t="s">
        <v>79</v>
      </c>
      <c r="B67" s="152">
        <f>B64*$O$97*(B63-B56)/365.25</f>
        <v>26800.273785078713</v>
      </c>
      <c r="C67" s="152">
        <f t="shared" ref="C67:U67" si="42">C64*$O$97*(C63-C56)/365.25</f>
        <v>26800.273785078713</v>
      </c>
      <c r="D67" s="152">
        <f t="shared" si="42"/>
        <v>26800.273785078713</v>
      </c>
      <c r="E67" s="152">
        <f t="shared" si="42"/>
        <v>26800.273785078713</v>
      </c>
      <c r="F67" s="152">
        <f t="shared" si="42"/>
        <v>26800.273785078713</v>
      </c>
      <c r="G67" s="152">
        <f t="shared" si="42"/>
        <v>26800.273785078713</v>
      </c>
      <c r="H67" s="152">
        <f t="shared" si="42"/>
        <v>26800.273785078713</v>
      </c>
      <c r="I67" s="152">
        <f t="shared" si="42"/>
        <v>26800.273785078713</v>
      </c>
      <c r="J67" s="152">
        <f t="shared" si="42"/>
        <v>26800.273785078713</v>
      </c>
      <c r="K67" s="152">
        <f t="shared" si="42"/>
        <v>26800.273785078713</v>
      </c>
      <c r="L67" s="152">
        <f t="shared" si="42"/>
        <v>25058.255989048597</v>
      </c>
      <c r="M67" s="152">
        <f t="shared" si="42"/>
        <v>22378.228610540726</v>
      </c>
      <c r="N67" s="152">
        <f t="shared" si="42"/>
        <v>19698.201232032854</v>
      </c>
      <c r="O67" s="152">
        <f t="shared" si="42"/>
        <v>17018.173853524982</v>
      </c>
      <c r="P67" s="152">
        <f t="shared" si="42"/>
        <v>14271.145790554414</v>
      </c>
      <c r="Q67" s="152">
        <f t="shared" si="42"/>
        <v>11390.116358658453</v>
      </c>
      <c r="R67" s="152">
        <f t="shared" si="42"/>
        <v>8442.0862422997943</v>
      </c>
      <c r="S67" s="152">
        <f t="shared" si="42"/>
        <v>5762.0588637919236</v>
      </c>
      <c r="T67" s="152">
        <f t="shared" si="42"/>
        <v>3350.0342231348391</v>
      </c>
      <c r="U67" s="152">
        <f t="shared" si="42"/>
        <v>938.00958247775498</v>
      </c>
      <c r="W67" s="38"/>
      <c r="X67" s="38"/>
    </row>
    <row r="68" spans="1:26">
      <c r="A68" s="40" t="s">
        <v>80</v>
      </c>
      <c r="B68" s="59">
        <f>B64-B66</f>
        <v>475000</v>
      </c>
      <c r="C68" s="59">
        <f t="shared" ref="C68:U68" si="43">C64-C66</f>
        <v>475000</v>
      </c>
      <c r="D68" s="59">
        <f t="shared" si="43"/>
        <v>475000</v>
      </c>
      <c r="E68" s="59">
        <f t="shared" si="43"/>
        <v>475000</v>
      </c>
      <c r="F68" s="59">
        <f t="shared" si="43"/>
        <v>475000</v>
      </c>
      <c r="G68" s="59">
        <f t="shared" si="43"/>
        <v>475000</v>
      </c>
      <c r="H68" s="59">
        <f t="shared" si="43"/>
        <v>475000</v>
      </c>
      <c r="I68" s="59">
        <f t="shared" si="43"/>
        <v>475000</v>
      </c>
      <c r="J68" s="59">
        <f t="shared" si="43"/>
        <v>475000</v>
      </c>
      <c r="K68" s="59">
        <f t="shared" si="43"/>
        <v>467875</v>
      </c>
      <c r="L68" s="59">
        <f t="shared" si="43"/>
        <v>420375</v>
      </c>
      <c r="M68" s="59">
        <f t="shared" si="43"/>
        <v>372875</v>
      </c>
      <c r="N68" s="59">
        <f t="shared" si="43"/>
        <v>325375</v>
      </c>
      <c r="O68" s="59">
        <f t="shared" si="43"/>
        <v>277875</v>
      </c>
      <c r="P68" s="59">
        <f t="shared" si="43"/>
        <v>228000</v>
      </c>
      <c r="Q68" s="59">
        <f t="shared" si="43"/>
        <v>175750</v>
      </c>
      <c r="R68" s="59">
        <f t="shared" si="43"/>
        <v>123500</v>
      </c>
      <c r="S68" s="59">
        <f t="shared" si="43"/>
        <v>80750</v>
      </c>
      <c r="T68" s="59">
        <f t="shared" si="43"/>
        <v>38000</v>
      </c>
      <c r="U68" s="59">
        <f t="shared" si="43"/>
        <v>-4.0017766878008842E-11</v>
      </c>
      <c r="W68" s="38"/>
      <c r="X68" s="38"/>
    </row>
    <row r="69" spans="1:26">
      <c r="A69" s="40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</row>
    <row r="70" spans="1:26">
      <c r="A70" s="333" t="s">
        <v>214</v>
      </c>
      <c r="B70" s="331"/>
      <c r="C70" s="331"/>
      <c r="D70" s="331"/>
      <c r="E70" s="331"/>
      <c r="F70" s="331"/>
      <c r="G70" s="331"/>
      <c r="H70" s="331"/>
      <c r="I70" s="331"/>
      <c r="J70" s="331"/>
      <c r="K70" s="331"/>
      <c r="L70" s="331"/>
      <c r="M70" s="331"/>
      <c r="N70" s="331"/>
      <c r="O70" s="331"/>
      <c r="P70" s="331"/>
      <c r="Q70" s="331"/>
      <c r="R70" s="331"/>
      <c r="S70" s="331"/>
      <c r="T70" s="331"/>
      <c r="U70" s="331"/>
      <c r="V70" s="41"/>
      <c r="W70" s="41"/>
      <c r="X70" s="41"/>
      <c r="Y70" s="41"/>
      <c r="Z70" s="41"/>
    </row>
    <row r="71" spans="1:26">
      <c r="A71" s="333"/>
      <c r="B71" s="331"/>
      <c r="C71" s="331"/>
      <c r="D71" s="331"/>
      <c r="E71" s="331"/>
      <c r="F71" s="331"/>
      <c r="G71" s="331"/>
      <c r="H71" s="331"/>
      <c r="I71" s="331"/>
      <c r="J71" s="331"/>
      <c r="K71" s="331"/>
      <c r="L71" s="331"/>
      <c r="M71" s="331"/>
      <c r="N71" s="331"/>
      <c r="O71" s="331"/>
      <c r="P71" s="331"/>
      <c r="Q71" s="331"/>
      <c r="R71" s="331"/>
      <c r="S71" s="331"/>
      <c r="T71" s="331"/>
      <c r="U71" s="331"/>
      <c r="V71" s="41"/>
      <c r="W71" s="41"/>
      <c r="X71" s="41"/>
      <c r="Y71" s="41"/>
      <c r="Z71" s="41"/>
    </row>
    <row r="72" spans="1:26">
      <c r="A72" s="40" t="s">
        <v>77</v>
      </c>
      <c r="B72" s="153">
        <f>B54+B34+B14</f>
        <v>735000</v>
      </c>
      <c r="C72" s="153">
        <f>C52+C32+C12</f>
        <v>719500</v>
      </c>
      <c r="D72" s="153">
        <f t="shared" ref="D72:U72" si="44">D52+D32+D12</f>
        <v>702875</v>
      </c>
      <c r="E72" s="153">
        <f t="shared" si="44"/>
        <v>685000</v>
      </c>
      <c r="F72" s="153">
        <f t="shared" si="44"/>
        <v>667150</v>
      </c>
      <c r="G72" s="153">
        <f t="shared" si="44"/>
        <v>642580</v>
      </c>
      <c r="H72" s="153">
        <f t="shared" si="44"/>
        <v>614650</v>
      </c>
      <c r="I72" s="153">
        <f t="shared" si="44"/>
        <v>584200</v>
      </c>
      <c r="J72" s="153">
        <f t="shared" si="44"/>
        <v>549550</v>
      </c>
      <c r="K72" s="153">
        <f t="shared" si="44"/>
        <v>511540</v>
      </c>
      <c r="L72" s="153">
        <f t="shared" si="44"/>
        <v>467875</v>
      </c>
      <c r="M72" s="153">
        <f t="shared" si="44"/>
        <v>420375</v>
      </c>
      <c r="N72" s="153">
        <f t="shared" si="44"/>
        <v>372875</v>
      </c>
      <c r="O72" s="153">
        <f t="shared" si="44"/>
        <v>325375</v>
      </c>
      <c r="P72" s="153">
        <f t="shared" si="44"/>
        <v>277875</v>
      </c>
      <c r="Q72" s="153">
        <f t="shared" si="44"/>
        <v>228000</v>
      </c>
      <c r="R72" s="153">
        <f t="shared" si="44"/>
        <v>175750</v>
      </c>
      <c r="S72" s="153">
        <f t="shared" si="44"/>
        <v>123500</v>
      </c>
      <c r="T72" s="153">
        <f t="shared" si="44"/>
        <v>80750</v>
      </c>
      <c r="U72" s="153">
        <f t="shared" si="44"/>
        <v>38000</v>
      </c>
      <c r="V72" s="41"/>
      <c r="W72" s="41"/>
      <c r="X72" s="41"/>
      <c r="Y72" s="41"/>
      <c r="Z72" s="41"/>
    </row>
    <row r="73" spans="1:26">
      <c r="A73" s="40" t="s">
        <v>80</v>
      </c>
      <c r="B73" s="153">
        <f t="shared" ref="B73:U73" si="45">B68+B48+B28</f>
        <v>719500</v>
      </c>
      <c r="C73" s="153">
        <f t="shared" si="45"/>
        <v>702875</v>
      </c>
      <c r="D73" s="153">
        <f t="shared" si="45"/>
        <v>685000</v>
      </c>
      <c r="E73" s="153">
        <f t="shared" si="45"/>
        <v>667150</v>
      </c>
      <c r="F73" s="153">
        <f t="shared" si="45"/>
        <v>642580</v>
      </c>
      <c r="G73" s="153">
        <f t="shared" si="45"/>
        <v>614650</v>
      </c>
      <c r="H73" s="153">
        <f t="shared" si="45"/>
        <v>584200</v>
      </c>
      <c r="I73" s="153">
        <f t="shared" si="45"/>
        <v>549550</v>
      </c>
      <c r="J73" s="153">
        <f t="shared" si="45"/>
        <v>511540</v>
      </c>
      <c r="K73" s="153">
        <f t="shared" si="45"/>
        <v>467875</v>
      </c>
      <c r="L73" s="153">
        <f t="shared" si="45"/>
        <v>420375</v>
      </c>
      <c r="M73" s="153">
        <f t="shared" si="45"/>
        <v>372875</v>
      </c>
      <c r="N73" s="153">
        <f t="shared" si="45"/>
        <v>325375</v>
      </c>
      <c r="O73" s="153">
        <f t="shared" si="45"/>
        <v>277875</v>
      </c>
      <c r="P73" s="153">
        <f t="shared" si="45"/>
        <v>228000</v>
      </c>
      <c r="Q73" s="153">
        <f t="shared" si="45"/>
        <v>175750</v>
      </c>
      <c r="R73" s="153">
        <f t="shared" si="45"/>
        <v>123500</v>
      </c>
      <c r="S73" s="153">
        <f t="shared" si="45"/>
        <v>80750</v>
      </c>
      <c r="T73" s="153">
        <f t="shared" si="45"/>
        <v>38000</v>
      </c>
      <c r="U73" s="153">
        <f t="shared" si="45"/>
        <v>-4.0017766878008842E-11</v>
      </c>
      <c r="V73" s="41"/>
      <c r="W73" s="41"/>
      <c r="X73" s="41"/>
      <c r="Y73" s="41"/>
      <c r="Z73" s="41"/>
    </row>
    <row r="74" spans="1:26">
      <c r="A74" s="40"/>
      <c r="B74" s="331"/>
      <c r="C74" s="331"/>
      <c r="D74" s="331"/>
      <c r="E74" s="331"/>
      <c r="F74" s="331"/>
      <c r="G74" s="331"/>
      <c r="H74" s="331"/>
      <c r="I74" s="331"/>
      <c r="J74" s="331"/>
      <c r="K74" s="331"/>
      <c r="L74" s="331"/>
      <c r="M74" s="331"/>
      <c r="N74" s="331"/>
      <c r="O74" s="331"/>
      <c r="P74" s="331"/>
      <c r="Q74" s="331"/>
      <c r="R74" s="331"/>
      <c r="S74" s="331"/>
      <c r="T74" s="331"/>
      <c r="U74" s="331"/>
      <c r="V74" s="41"/>
      <c r="W74" s="41"/>
      <c r="X74" s="41"/>
      <c r="Y74" s="41"/>
      <c r="Z74" s="41"/>
    </row>
    <row r="75" spans="1:26">
      <c r="A75" s="40" t="s">
        <v>122</v>
      </c>
      <c r="B75" s="153">
        <f t="shared" ref="B75:U75" si="46">SUM(B66,B59,B46,B39,B26,B19)</f>
        <v>15500</v>
      </c>
      <c r="C75" s="153">
        <f t="shared" si="46"/>
        <v>16625</v>
      </c>
      <c r="D75" s="153">
        <f t="shared" si="46"/>
        <v>17875</v>
      </c>
      <c r="E75" s="153">
        <f t="shared" si="46"/>
        <v>17850</v>
      </c>
      <c r="F75" s="153">
        <f t="shared" si="46"/>
        <v>24570</v>
      </c>
      <c r="G75" s="153">
        <f t="shared" si="46"/>
        <v>27930</v>
      </c>
      <c r="H75" s="153">
        <f t="shared" si="46"/>
        <v>30449.999999999996</v>
      </c>
      <c r="I75" s="153">
        <f t="shared" si="46"/>
        <v>34650</v>
      </c>
      <c r="J75" s="153">
        <f t="shared" si="46"/>
        <v>38010</v>
      </c>
      <c r="K75" s="153">
        <f t="shared" si="46"/>
        <v>43664.999999999985</v>
      </c>
      <c r="L75" s="153">
        <f t="shared" si="46"/>
        <v>47500</v>
      </c>
      <c r="M75" s="153">
        <f t="shared" si="46"/>
        <v>47500</v>
      </c>
      <c r="N75" s="153">
        <f t="shared" si="46"/>
        <v>47500</v>
      </c>
      <c r="O75" s="153">
        <f t="shared" si="46"/>
        <v>47500</v>
      </c>
      <c r="P75" s="153">
        <f t="shared" si="46"/>
        <v>49875</v>
      </c>
      <c r="Q75" s="153">
        <f t="shared" si="46"/>
        <v>52250</v>
      </c>
      <c r="R75" s="153">
        <f t="shared" si="46"/>
        <v>52250</v>
      </c>
      <c r="S75" s="153">
        <f t="shared" si="46"/>
        <v>42750</v>
      </c>
      <c r="T75" s="153">
        <f t="shared" si="46"/>
        <v>42750</v>
      </c>
      <c r="U75" s="153">
        <f t="shared" si="46"/>
        <v>38000.000000000044</v>
      </c>
      <c r="V75" s="41"/>
      <c r="W75" s="41"/>
      <c r="X75" s="41"/>
      <c r="Y75" s="41"/>
      <c r="Z75" s="41"/>
    </row>
    <row r="76" spans="1:26">
      <c r="A76" s="311" t="s">
        <v>66</v>
      </c>
      <c r="B76" s="330">
        <f t="shared" ref="B76:U76" si="47">SUM(B13,B20,B33,B40,B53,B60,B67,B47,B27)</f>
        <v>80195.063655030797</v>
      </c>
      <c r="C76" s="330">
        <f t="shared" si="47"/>
        <v>78991.765229295008</v>
      </c>
      <c r="D76" s="330">
        <f t="shared" si="47"/>
        <v>77294.472108145099</v>
      </c>
      <c r="E76" s="330">
        <f t="shared" si="47"/>
        <v>75962.102669404514</v>
      </c>
      <c r="F76" s="330">
        <f t="shared" si="47"/>
        <v>73604.857221081445</v>
      </c>
      <c r="G76" s="330">
        <f t="shared" si="47"/>
        <v>70810.911430527034</v>
      </c>
      <c r="H76" s="330">
        <f t="shared" si="47"/>
        <v>67670.892539356602</v>
      </c>
      <c r="I76" s="330">
        <f t="shared" si="47"/>
        <v>64385.856262833673</v>
      </c>
      <c r="J76" s="330">
        <f t="shared" si="47"/>
        <v>60305.328678986996</v>
      </c>
      <c r="K76" s="330">
        <f t="shared" si="47"/>
        <v>55783.800136892532</v>
      </c>
      <c r="L76" s="330">
        <f t="shared" si="47"/>
        <v>51026.119096509239</v>
      </c>
      <c r="M76" s="330">
        <f t="shared" si="47"/>
        <v>45838.663928815877</v>
      </c>
      <c r="N76" s="330">
        <f t="shared" si="47"/>
        <v>40393.401779603009</v>
      </c>
      <c r="O76" s="330">
        <f t="shared" si="47"/>
        <v>35077.043121149894</v>
      </c>
      <c r="P76" s="330">
        <f t="shared" si="47"/>
        <v>29693.683778234088</v>
      </c>
      <c r="Q76" s="330">
        <f t="shared" si="47"/>
        <v>24114.420260095823</v>
      </c>
      <c r="R76" s="330">
        <f t="shared" si="47"/>
        <v>18196.511978097195</v>
      </c>
      <c r="S76" s="330">
        <f t="shared" si="47"/>
        <v>12616.520191649557</v>
      </c>
      <c r="T76" s="330">
        <f t="shared" si="47"/>
        <v>7831.7973990417522</v>
      </c>
      <c r="U76" s="330">
        <f t="shared" si="47"/>
        <v>3058.7268993839834</v>
      </c>
      <c r="V76" s="41"/>
      <c r="W76" s="41"/>
      <c r="X76" s="41"/>
      <c r="Y76" s="41"/>
      <c r="Z76" s="41"/>
    </row>
    <row r="77" spans="1:26">
      <c r="A77" s="41" t="s">
        <v>81</v>
      </c>
      <c r="B77" s="41">
        <f t="shared" ref="B77:U77" si="48">SUM(B75:B76)</f>
        <v>95695.063655030797</v>
      </c>
      <c r="C77" s="41">
        <f t="shared" si="48"/>
        <v>95616.765229295008</v>
      </c>
      <c r="D77" s="41">
        <f t="shared" si="48"/>
        <v>95169.472108145099</v>
      </c>
      <c r="E77" s="41">
        <f t="shared" si="48"/>
        <v>93812.102669404514</v>
      </c>
      <c r="F77" s="41">
        <f t="shared" si="48"/>
        <v>98174.857221081445</v>
      </c>
      <c r="G77" s="41">
        <f t="shared" si="48"/>
        <v>98740.911430527034</v>
      </c>
      <c r="H77" s="41">
        <f t="shared" si="48"/>
        <v>98120.892539356602</v>
      </c>
      <c r="I77" s="41">
        <f t="shared" si="48"/>
        <v>99035.856262833666</v>
      </c>
      <c r="J77" s="41">
        <f t="shared" si="48"/>
        <v>98315.328678986989</v>
      </c>
      <c r="K77" s="41">
        <f t="shared" si="48"/>
        <v>99448.800136892518</v>
      </c>
      <c r="L77" s="41">
        <f t="shared" si="48"/>
        <v>98526.119096509239</v>
      </c>
      <c r="M77" s="41">
        <f t="shared" si="48"/>
        <v>93338.663928815877</v>
      </c>
      <c r="N77" s="41">
        <f t="shared" si="48"/>
        <v>87893.401779603009</v>
      </c>
      <c r="O77" s="41">
        <f t="shared" si="48"/>
        <v>82577.043121149894</v>
      </c>
      <c r="P77" s="41">
        <f t="shared" si="48"/>
        <v>79568.683778234088</v>
      </c>
      <c r="Q77" s="41">
        <f t="shared" si="48"/>
        <v>76364.420260095823</v>
      </c>
      <c r="R77" s="41">
        <f t="shared" si="48"/>
        <v>70446.511978097202</v>
      </c>
      <c r="S77" s="41">
        <f t="shared" si="48"/>
        <v>55366.520191649557</v>
      </c>
      <c r="T77" s="41">
        <f t="shared" si="48"/>
        <v>50581.797399041752</v>
      </c>
      <c r="U77" s="41">
        <f t="shared" si="48"/>
        <v>41058.726899384026</v>
      </c>
      <c r="V77" s="41"/>
      <c r="W77" s="41"/>
      <c r="X77" s="41"/>
      <c r="Y77" s="41"/>
      <c r="Z77" s="41"/>
    </row>
    <row r="78" spans="1:26" ht="13.5" thickBo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3.5" thickBot="1">
      <c r="A79" s="334" t="s">
        <v>123</v>
      </c>
      <c r="B79" s="338">
        <f>IF(B77&gt;0.1,B8/B77," ")</f>
        <v>1.2918538214426671</v>
      </c>
      <c r="C79" s="338">
        <f>IF(C77&gt;0.1,C8/C77," ")</f>
        <v>1.2868053405518787</v>
      </c>
      <c r="D79" s="338">
        <f>IF(D77&gt;0.1,D8/D77," ")</f>
        <v>1.2874803054177364</v>
      </c>
      <c r="E79" s="339">
        <f>IF(E77&gt;0.1,E8/E77," ")</f>
        <v>2.224040279743142</v>
      </c>
      <c r="F79" s="339">
        <f t="shared" ref="F79:U79" si="49">IF(F77&gt;0.1,F8/F77," ")</f>
        <v>2.2365338214354678</v>
      </c>
      <c r="G79" s="339">
        <f t="shared" si="49"/>
        <v>2.2558844742665651</v>
      </c>
      <c r="H79" s="339">
        <f t="shared" si="49"/>
        <v>2.3035513619531764</v>
      </c>
      <c r="I79" s="339">
        <f t="shared" si="49"/>
        <v>2.3164512606966974</v>
      </c>
      <c r="J79" s="339">
        <f t="shared" si="49"/>
        <v>2.3696342088083702</v>
      </c>
      <c r="K79" s="339">
        <f t="shared" si="49"/>
        <v>2.3698871380268915</v>
      </c>
      <c r="L79" s="339">
        <f t="shared" si="49"/>
        <v>2.4368651178388765</v>
      </c>
      <c r="M79" s="339">
        <f t="shared" si="49"/>
        <v>2.6223941915359852</v>
      </c>
      <c r="N79" s="339">
        <f t="shared" si="49"/>
        <v>2.8331613455793749</v>
      </c>
      <c r="O79" s="339">
        <f t="shared" si="49"/>
        <v>3.0689856711898948</v>
      </c>
      <c r="P79" s="339">
        <f t="shared" si="49"/>
        <v>3.2351562472307349</v>
      </c>
      <c r="Q79" s="339">
        <f t="shared" si="49"/>
        <v>3.4251888981700089</v>
      </c>
      <c r="R79" s="339">
        <f t="shared" si="49"/>
        <v>3.7638846391128848</v>
      </c>
      <c r="S79" s="339">
        <f t="shared" si="49"/>
        <v>4.8546318284729422</v>
      </c>
      <c r="T79" s="339">
        <f t="shared" si="49"/>
        <v>5.386472154365971</v>
      </c>
      <c r="U79" s="340">
        <f t="shared" si="49"/>
        <v>6.7265195197622614</v>
      </c>
      <c r="V79" s="42"/>
      <c r="W79" s="42"/>
      <c r="X79" s="42"/>
      <c r="Y79" s="42"/>
      <c r="Z79" s="42"/>
    </row>
    <row r="80" spans="1:26">
      <c r="A80" s="43"/>
      <c r="B80" s="312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  <c r="T80" s="313"/>
      <c r="U80" s="313"/>
      <c r="V80" s="42"/>
      <c r="W80" s="42"/>
      <c r="X80" s="42"/>
      <c r="Y80" s="42"/>
      <c r="Z80" s="42"/>
    </row>
    <row r="81" spans="1:26">
      <c r="A81" s="43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42"/>
      <c r="W81" s="42"/>
      <c r="X81" s="42"/>
      <c r="Y81" s="42"/>
      <c r="Z81" s="42"/>
    </row>
    <row r="82" spans="1:26">
      <c r="A82" s="43"/>
      <c r="B82" s="537" t="s">
        <v>0</v>
      </c>
      <c r="C82" s="538"/>
      <c r="D82" s="538"/>
      <c r="E82" s="538"/>
      <c r="F82" s="538"/>
      <c r="G82" s="539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42"/>
      <c r="W82" s="42"/>
      <c r="X82" s="42"/>
      <c r="Y82" s="42"/>
      <c r="Z82" s="42"/>
    </row>
    <row r="83" spans="1:26">
      <c r="A83" s="43"/>
      <c r="B83" s="309" t="s">
        <v>143</v>
      </c>
      <c r="C83" s="344"/>
      <c r="D83" s="345"/>
      <c r="E83" s="309" t="s">
        <v>252</v>
      </c>
      <c r="F83" s="344"/>
      <c r="G83" s="345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42"/>
      <c r="W83" s="42"/>
      <c r="X83" s="42"/>
      <c r="Y83" s="42"/>
      <c r="Z83" s="42"/>
    </row>
    <row r="84" spans="1:26">
      <c r="A84" s="43"/>
      <c r="B84" s="346" t="s">
        <v>128</v>
      </c>
      <c r="C84" s="32"/>
      <c r="D84" s="347">
        <f>MIN(B79:D79)</f>
        <v>1.2868053405518787</v>
      </c>
      <c r="E84" s="346" t="s">
        <v>128</v>
      </c>
      <c r="F84" s="32"/>
      <c r="G84" s="347">
        <f>MIN(E79:U79)</f>
        <v>2.224040279743142</v>
      </c>
      <c r="H84" s="314"/>
      <c r="I84" s="314"/>
      <c r="J84" s="314"/>
      <c r="K84" s="314"/>
      <c r="L84" s="314"/>
      <c r="M84" s="314"/>
      <c r="N84" s="314"/>
      <c r="O84" s="314"/>
      <c r="P84" s="314"/>
      <c r="Q84" s="314"/>
      <c r="R84" s="314"/>
      <c r="S84" s="314"/>
      <c r="T84" s="314"/>
      <c r="U84" s="314"/>
      <c r="V84" s="42"/>
      <c r="W84" s="42"/>
      <c r="X84" s="42"/>
      <c r="Y84" s="42"/>
      <c r="Z84" s="42"/>
    </row>
    <row r="85" spans="1:26">
      <c r="A85" s="43"/>
      <c r="B85" s="348" t="s">
        <v>127</v>
      </c>
      <c r="C85" s="349"/>
      <c r="D85" s="350">
        <f>AVERAGE(B79:D79)</f>
        <v>1.2887131558040941</v>
      </c>
      <c r="E85" s="348" t="s">
        <v>127</v>
      </c>
      <c r="F85" s="349"/>
      <c r="G85" s="350">
        <f>AVERAGE(E79:U79)</f>
        <v>3.2017201269523086</v>
      </c>
      <c r="H85" s="314"/>
      <c r="I85" s="314"/>
      <c r="J85" s="314"/>
      <c r="K85" s="314"/>
      <c r="L85" s="314"/>
      <c r="M85" s="314"/>
      <c r="N85" s="314"/>
      <c r="O85" s="314"/>
      <c r="P85" s="314"/>
      <c r="Q85" s="314"/>
      <c r="R85" s="314"/>
      <c r="S85" s="314"/>
      <c r="T85" s="314"/>
      <c r="U85" s="314"/>
      <c r="V85" s="42"/>
      <c r="W85" s="42"/>
      <c r="X85" s="42"/>
      <c r="Y85" s="42"/>
      <c r="Z85" s="42"/>
    </row>
    <row r="86" spans="1:26">
      <c r="A86" s="43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4"/>
      <c r="R86" s="314"/>
      <c r="S86" s="314"/>
      <c r="T86" s="314"/>
      <c r="U86" s="314"/>
      <c r="V86" s="42"/>
      <c r="W86" s="42"/>
      <c r="X86" s="42"/>
      <c r="Y86" s="42"/>
      <c r="Z86" s="42"/>
    </row>
    <row r="87" spans="1:26">
      <c r="A87" s="43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4"/>
      <c r="R87" s="314"/>
      <c r="S87" s="314"/>
      <c r="T87" s="314"/>
      <c r="U87" s="314"/>
      <c r="V87" s="42"/>
      <c r="W87" s="42"/>
      <c r="X87" s="42"/>
      <c r="Y87" s="42"/>
      <c r="Z87" s="42"/>
    </row>
    <row r="88" spans="1:26">
      <c r="A88" s="43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4"/>
      <c r="R88" s="314"/>
      <c r="S88" s="314"/>
      <c r="T88" s="314"/>
      <c r="U88" s="314"/>
      <c r="V88" s="42"/>
      <c r="W88" s="42"/>
      <c r="X88" s="42"/>
      <c r="Y88" s="42"/>
      <c r="Z88" s="42"/>
    </row>
    <row r="89" spans="1:26">
      <c r="A89" s="43"/>
      <c r="B89" s="48"/>
      <c r="C89" s="17"/>
      <c r="D89" s="17"/>
      <c r="E89" s="246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42"/>
      <c r="W89" s="42"/>
      <c r="X89" s="42"/>
      <c r="Y89" s="42"/>
      <c r="Z89" s="42"/>
    </row>
    <row r="90" spans="1:26">
      <c r="A90" s="43"/>
      <c r="B90" s="48"/>
      <c r="C90" s="17"/>
      <c r="D90" s="17"/>
      <c r="E90" s="246"/>
      <c r="F90" s="314"/>
      <c r="G90" s="314"/>
      <c r="H90" s="314"/>
      <c r="I90" s="314"/>
      <c r="J90" s="314"/>
      <c r="K90" s="314"/>
      <c r="L90" s="314"/>
      <c r="M90" s="314"/>
      <c r="N90" s="314"/>
      <c r="O90" s="314"/>
      <c r="P90" s="314"/>
      <c r="Q90" s="314"/>
      <c r="R90" s="314"/>
      <c r="S90" s="314"/>
      <c r="T90" s="314"/>
      <c r="U90" s="314"/>
      <c r="V90" s="42"/>
      <c r="W90" s="42"/>
      <c r="X90" s="42"/>
      <c r="Y90" s="42"/>
      <c r="Z90" s="42"/>
    </row>
    <row r="91" spans="1:26">
      <c r="A91" s="43" t="s">
        <v>144</v>
      </c>
      <c r="B91" s="335">
        <f t="shared" ref="B91:U91" si="50">SUM(B13,B20,B27,B33,B40,B47,B53,B60,B67)</f>
        <v>80195.063655030797</v>
      </c>
      <c r="C91" s="335">
        <f t="shared" si="50"/>
        <v>78991.765229294993</v>
      </c>
      <c r="D91" s="335">
        <f t="shared" si="50"/>
        <v>77294.472108145099</v>
      </c>
      <c r="E91" s="335">
        <f t="shared" si="50"/>
        <v>75962.102669404514</v>
      </c>
      <c r="F91" s="335">
        <f t="shared" si="50"/>
        <v>73604.857221081445</v>
      </c>
      <c r="G91" s="335">
        <f t="shared" si="50"/>
        <v>70810.911430527034</v>
      </c>
      <c r="H91" s="335">
        <f t="shared" si="50"/>
        <v>67670.892539356602</v>
      </c>
      <c r="I91" s="335">
        <f t="shared" si="50"/>
        <v>64385.85626283368</v>
      </c>
      <c r="J91" s="335">
        <f t="shared" si="50"/>
        <v>60305.328678986989</v>
      </c>
      <c r="K91" s="335">
        <f t="shared" si="50"/>
        <v>55783.800136892532</v>
      </c>
      <c r="L91" s="335">
        <f t="shared" si="50"/>
        <v>51026.119096509239</v>
      </c>
      <c r="M91" s="335">
        <f t="shared" si="50"/>
        <v>45838.663928815877</v>
      </c>
      <c r="N91" s="335">
        <f t="shared" si="50"/>
        <v>40393.401779603009</v>
      </c>
      <c r="O91" s="335">
        <f t="shared" si="50"/>
        <v>35077.043121149894</v>
      </c>
      <c r="P91" s="335">
        <f t="shared" si="50"/>
        <v>29693.683778234088</v>
      </c>
      <c r="Q91" s="335">
        <f t="shared" si="50"/>
        <v>24114.420260095823</v>
      </c>
      <c r="R91" s="335">
        <f t="shared" si="50"/>
        <v>18196.511978097195</v>
      </c>
      <c r="S91" s="335">
        <f t="shared" si="50"/>
        <v>12616.520191649557</v>
      </c>
      <c r="T91" s="335">
        <f t="shared" si="50"/>
        <v>7831.7973990417522</v>
      </c>
      <c r="U91" s="335">
        <f t="shared" si="50"/>
        <v>3058.7268993839834</v>
      </c>
      <c r="V91" s="42"/>
      <c r="W91" s="42"/>
      <c r="X91" s="42"/>
      <c r="Y91" s="42"/>
      <c r="Z91" s="42"/>
    </row>
    <row r="92" spans="1:26">
      <c r="A92" s="43"/>
      <c r="B92" s="48"/>
      <c r="C92" s="17"/>
      <c r="D92" s="17"/>
      <c r="E92" s="246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42"/>
      <c r="W92" s="42"/>
      <c r="X92" s="42"/>
      <c r="Y92" s="42"/>
      <c r="Z92" s="42"/>
    </row>
    <row r="93" spans="1:26">
      <c r="A93" s="43"/>
      <c r="B93" s="48"/>
      <c r="C93" s="17"/>
      <c r="D93" s="17"/>
      <c r="E93" s="246"/>
      <c r="F93" s="314"/>
      <c r="G93" s="314"/>
      <c r="H93" s="314"/>
      <c r="I93" s="314"/>
      <c r="J93" s="314"/>
      <c r="K93" s="314"/>
      <c r="L93" s="314"/>
      <c r="M93" s="314"/>
      <c r="N93" s="314"/>
      <c r="O93" s="314"/>
      <c r="P93" s="314"/>
      <c r="Q93" s="314"/>
      <c r="R93" s="314"/>
      <c r="S93" s="314"/>
      <c r="T93" s="314"/>
      <c r="U93" s="314"/>
      <c r="V93" s="42"/>
      <c r="W93" s="42"/>
      <c r="X93" s="42"/>
      <c r="Y93" s="42"/>
      <c r="Z93" s="42"/>
    </row>
    <row r="94" spans="1:26">
      <c r="B94" s="534" t="s">
        <v>17</v>
      </c>
      <c r="C94" s="535"/>
      <c r="D94" s="535"/>
      <c r="E94" s="536"/>
      <c r="F94" s="42"/>
      <c r="G94" s="534" t="s">
        <v>18</v>
      </c>
      <c r="H94" s="535"/>
      <c r="I94" s="535"/>
      <c r="J94" s="536"/>
      <c r="K94" s="42"/>
      <c r="L94" s="534" t="s">
        <v>19</v>
      </c>
      <c r="M94" s="535"/>
      <c r="N94" s="535"/>
      <c r="O94" s="536"/>
      <c r="P94" s="44"/>
      <c r="Q94" s="44"/>
      <c r="R94" s="44"/>
      <c r="S94" s="42"/>
      <c r="T94" s="42"/>
      <c r="U94" s="42"/>
      <c r="V94" s="42"/>
      <c r="W94" s="42"/>
      <c r="X94" s="42"/>
      <c r="Y94" s="42"/>
      <c r="Z94" s="42"/>
    </row>
    <row r="95" spans="1:26">
      <c r="B95" s="315" t="s">
        <v>124</v>
      </c>
      <c r="C95" s="49"/>
      <c r="D95" s="49"/>
      <c r="E95" s="316">
        <f>'Summary Output'!B25</f>
        <v>6.8000000000000005E-2</v>
      </c>
      <c r="F95" s="43"/>
      <c r="G95" s="315" t="s">
        <v>124</v>
      </c>
      <c r="H95" s="49"/>
      <c r="I95" s="49"/>
      <c r="J95" s="316">
        <f>'Summary Output'!C25</f>
        <v>6.5000000000000002E-2</v>
      </c>
      <c r="K95" s="43"/>
      <c r="L95" s="315" t="s">
        <v>124</v>
      </c>
      <c r="M95" s="49"/>
      <c r="N95" s="49"/>
      <c r="O95" s="316">
        <f>'Summary Output'!D25</f>
        <v>6.2E-2</v>
      </c>
      <c r="P95" s="44"/>
      <c r="Q95" s="44"/>
      <c r="R95" s="44"/>
      <c r="S95" s="42"/>
      <c r="T95" s="42"/>
      <c r="U95" s="42"/>
      <c r="V95" s="42"/>
      <c r="W95" s="42"/>
      <c r="X95" s="42"/>
      <c r="Y95" s="42"/>
      <c r="Z95" s="42"/>
    </row>
    <row r="96" spans="1:26">
      <c r="B96" s="47" t="s">
        <v>25</v>
      </c>
      <c r="C96" s="17"/>
      <c r="D96" s="17"/>
      <c r="E96" s="317">
        <f>'Summary Output'!B26</f>
        <v>2.2499999999999999E-2</v>
      </c>
      <c r="G96" s="47" t="s">
        <v>25</v>
      </c>
      <c r="H96" s="17"/>
      <c r="I96" s="17"/>
      <c r="J96" s="317">
        <f>'Summary Output'!C26</f>
        <v>4.4999999999999998E-2</v>
      </c>
      <c r="L96" s="47" t="s">
        <v>25</v>
      </c>
      <c r="M96" s="17"/>
      <c r="N96" s="17"/>
      <c r="O96" s="317">
        <f>'Summary Output'!D26</f>
        <v>0.05</v>
      </c>
    </row>
    <row r="97" spans="1:30">
      <c r="A97" s="40"/>
      <c r="B97" s="318" t="s">
        <v>26</v>
      </c>
      <c r="C97" s="50"/>
      <c r="D97" s="50"/>
      <c r="E97" s="319">
        <f>E96+E95</f>
        <v>9.0499999999999997E-2</v>
      </c>
      <c r="G97" s="318" t="s">
        <v>26</v>
      </c>
      <c r="H97" s="50"/>
      <c r="I97" s="50"/>
      <c r="J97" s="319">
        <f>J96+J95</f>
        <v>0.11</v>
      </c>
      <c r="L97" s="318" t="s">
        <v>26</v>
      </c>
      <c r="M97" s="50"/>
      <c r="N97" s="50"/>
      <c r="O97" s="319">
        <f>O96+O95</f>
        <v>0.112</v>
      </c>
    </row>
    <row r="98" spans="1:30">
      <c r="B98" s="320" t="s">
        <v>125</v>
      </c>
      <c r="C98" s="49"/>
      <c r="D98" s="49"/>
      <c r="E98" s="321">
        <f>('Summary Output'!B22-'Summary Output'!$B$19)/365.25</f>
        <v>2.9952087611225187</v>
      </c>
      <c r="G98" s="320" t="s">
        <v>125</v>
      </c>
      <c r="H98" s="49"/>
      <c r="I98" s="49"/>
      <c r="J98" s="321">
        <f>('Summary Output'!C22-'Summary Output'!$B$19)/365.25</f>
        <v>9.9958932238193015</v>
      </c>
      <c r="L98" s="320" t="s">
        <v>125</v>
      </c>
      <c r="M98" s="49"/>
      <c r="N98" s="49"/>
      <c r="O98" s="321">
        <f>('Summary Output'!D22-'Summary Output'!$B$19)/365.25</f>
        <v>19.997262149212869</v>
      </c>
    </row>
    <row r="99" spans="1:30">
      <c r="B99" s="322" t="s">
        <v>126</v>
      </c>
      <c r="C99" s="17"/>
      <c r="D99" s="17"/>
      <c r="E99" s="323">
        <f>B109</f>
        <v>1.7562149212867901</v>
      </c>
      <c r="G99" s="322" t="s">
        <v>126</v>
      </c>
      <c r="H99" s="17"/>
      <c r="I99" s="17"/>
      <c r="J99" s="323">
        <f>B110</f>
        <v>7.1548336755646815</v>
      </c>
      <c r="L99" s="322" t="s">
        <v>126</v>
      </c>
      <c r="M99" s="17"/>
      <c r="N99" s="17"/>
      <c r="O99" s="323">
        <f>B111</f>
        <v>15.030609171800139</v>
      </c>
    </row>
    <row r="100" spans="1:30">
      <c r="B100" s="318" t="s">
        <v>76</v>
      </c>
      <c r="C100" s="50"/>
      <c r="D100" s="50"/>
      <c r="E100" s="324">
        <f>B14</f>
        <v>50000</v>
      </c>
      <c r="G100" s="318" t="s">
        <v>76</v>
      </c>
      <c r="H100" s="50"/>
      <c r="I100" s="50"/>
      <c r="J100" s="324">
        <f>B34</f>
        <v>210000</v>
      </c>
      <c r="L100" s="318" t="s">
        <v>76</v>
      </c>
      <c r="M100" s="50"/>
      <c r="N100" s="50"/>
      <c r="O100" s="324">
        <f>B54</f>
        <v>475000</v>
      </c>
    </row>
    <row r="101" spans="1:30">
      <c r="B101" s="40"/>
    </row>
    <row r="102" spans="1:30">
      <c r="B102" s="40"/>
    </row>
    <row r="103" spans="1:30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</row>
    <row r="105" spans="1:30">
      <c r="A105" s="15" t="s">
        <v>129</v>
      </c>
      <c r="B105" s="149">
        <f>(B16-$B$11)/365.25</f>
        <v>0.49281314168377821</v>
      </c>
      <c r="C105" s="149">
        <f t="shared" ref="C105:U105" si="51">(C16-$B$11)/365.25</f>
        <v>1.4921286789869952</v>
      </c>
      <c r="D105" s="149">
        <f t="shared" si="51"/>
        <v>2.4914442162902124</v>
      </c>
      <c r="E105" s="149">
        <f t="shared" si="51"/>
        <v>3.4934976043805612</v>
      </c>
      <c r="F105" s="149">
        <f t="shared" si="51"/>
        <v>4.4928131416837784</v>
      </c>
      <c r="G105" s="149">
        <f t="shared" si="51"/>
        <v>5.4921286789869956</v>
      </c>
      <c r="H105" s="149">
        <f t="shared" si="51"/>
        <v>6.491444216290212</v>
      </c>
      <c r="I105" s="149">
        <f t="shared" si="51"/>
        <v>7.4934976043805612</v>
      </c>
      <c r="J105" s="149">
        <f t="shared" si="51"/>
        <v>8.4928131416837775</v>
      </c>
      <c r="K105" s="149">
        <f t="shared" si="51"/>
        <v>9.4921286789869956</v>
      </c>
      <c r="L105" s="149">
        <f t="shared" si="51"/>
        <v>10.491444216290212</v>
      </c>
      <c r="M105" s="149">
        <f t="shared" si="51"/>
        <v>11.493497604380561</v>
      </c>
      <c r="N105" s="149">
        <f t="shared" si="51"/>
        <v>12.492813141683778</v>
      </c>
      <c r="O105" s="149">
        <f t="shared" si="51"/>
        <v>13.492128678986996</v>
      </c>
      <c r="P105" s="149">
        <f t="shared" si="51"/>
        <v>14.491444216290212</v>
      </c>
      <c r="Q105" s="149">
        <f t="shared" si="51"/>
        <v>15.493497604380561</v>
      </c>
      <c r="R105" s="149">
        <f t="shared" si="51"/>
        <v>16.492813141683779</v>
      </c>
      <c r="S105" s="149">
        <f t="shared" si="51"/>
        <v>17.492128678986994</v>
      </c>
      <c r="T105" s="149">
        <f t="shared" si="51"/>
        <v>18.491444216290212</v>
      </c>
      <c r="U105" s="149">
        <f t="shared" si="51"/>
        <v>19.493497604380561</v>
      </c>
      <c r="V105" s="325"/>
      <c r="W105" s="325"/>
      <c r="X105" s="325"/>
      <c r="Y105" s="325"/>
      <c r="Z105" s="325"/>
      <c r="AA105" s="325"/>
      <c r="AB105" s="325"/>
      <c r="AC105" s="325"/>
      <c r="AD105" s="325"/>
    </row>
    <row r="106" spans="1:30">
      <c r="B106" s="149">
        <f>(B23-$B$11)/365.25</f>
        <v>0.99657768651608492</v>
      </c>
      <c r="C106" s="149">
        <f t="shared" ref="C106:U106" si="52">(C23-$B$11)/365.25</f>
        <v>1.9958932238193019</v>
      </c>
      <c r="D106" s="149">
        <f t="shared" si="52"/>
        <v>2.9952087611225187</v>
      </c>
      <c r="E106" s="149">
        <f t="shared" si="52"/>
        <v>3.9972621492128679</v>
      </c>
      <c r="F106" s="149">
        <f t="shared" si="52"/>
        <v>4.9965776865160851</v>
      </c>
      <c r="G106" s="149">
        <f t="shared" si="52"/>
        <v>5.9958932238193015</v>
      </c>
      <c r="H106" s="149">
        <f t="shared" si="52"/>
        <v>6.9952087611225187</v>
      </c>
      <c r="I106" s="149">
        <f t="shared" si="52"/>
        <v>7.9972621492128679</v>
      </c>
      <c r="J106" s="149">
        <f t="shared" si="52"/>
        <v>8.9965776865160851</v>
      </c>
      <c r="K106" s="149">
        <f t="shared" si="52"/>
        <v>9.9958932238193015</v>
      </c>
      <c r="L106" s="149">
        <f t="shared" si="52"/>
        <v>10.99520876112252</v>
      </c>
      <c r="M106" s="149">
        <f t="shared" si="52"/>
        <v>11.997262149212867</v>
      </c>
      <c r="N106" s="149">
        <f t="shared" si="52"/>
        <v>12.996577686516085</v>
      </c>
      <c r="O106" s="149">
        <f t="shared" si="52"/>
        <v>13.995893223819301</v>
      </c>
      <c r="P106" s="149">
        <f t="shared" si="52"/>
        <v>14.99520876112252</v>
      </c>
      <c r="Q106" s="149">
        <f t="shared" si="52"/>
        <v>15.997262149212867</v>
      </c>
      <c r="R106" s="149">
        <f t="shared" si="52"/>
        <v>16.996577686516083</v>
      </c>
      <c r="S106" s="149">
        <f t="shared" si="52"/>
        <v>17.995893223819301</v>
      </c>
      <c r="T106" s="149">
        <f t="shared" si="52"/>
        <v>18.99520876112252</v>
      </c>
      <c r="U106" s="149">
        <f t="shared" si="52"/>
        <v>19.997262149212869</v>
      </c>
      <c r="V106" s="149"/>
      <c r="W106" s="149"/>
      <c r="X106" s="149"/>
      <c r="Y106" s="149"/>
      <c r="Z106" s="149"/>
      <c r="AA106" s="149"/>
      <c r="AB106" s="40"/>
      <c r="AC106" s="40"/>
    </row>
    <row r="107" spans="1:30"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40"/>
      <c r="AC107" s="40"/>
    </row>
    <row r="108" spans="1:30">
      <c r="A108" s="15" t="s">
        <v>98</v>
      </c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</row>
    <row r="109" spans="1:30">
      <c r="A109" s="16" t="s">
        <v>17</v>
      </c>
      <c r="B109" s="304">
        <f>(SUMPRODUCT($B$105:$U$105,B19:U19)+SUMPRODUCT($B$106:$U$106,B26:U26))/E100</f>
        <v>1.7562149212867901</v>
      </c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</row>
    <row r="110" spans="1:30">
      <c r="A110" s="16" t="s">
        <v>18</v>
      </c>
      <c r="B110" s="304">
        <f>(SUMPRODUCT($B$105:$U$105,B39:U39)+SUMPRODUCT($B$106:$U$106,B46:U46))/J100</f>
        <v>7.1548336755646815</v>
      </c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</row>
    <row r="111" spans="1:30">
      <c r="A111" s="16" t="s">
        <v>19</v>
      </c>
      <c r="B111" s="304">
        <f>(SUMPRODUCT($B$105:$U$105,B59:U59)+SUMPRODUCT($B$106:$U$106,B66:U66))/O100</f>
        <v>15.030609171800139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</row>
    <row r="112" spans="1:30" ht="13.5" thickBo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</row>
  </sheetData>
  <mergeCells count="4">
    <mergeCell ref="B94:E94"/>
    <mergeCell ref="G94:J94"/>
    <mergeCell ref="L94:O94"/>
    <mergeCell ref="B82:G82"/>
  </mergeCells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  <rowBreaks count="1" manualBreakCount="1">
    <brk id="89" max="31" man="1"/>
  </rowBreaks>
  <colBreaks count="1" manualBreakCount="1">
    <brk id="11" max="8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BC44"/>
  <sheetViews>
    <sheetView zoomScale="75" zoomScaleNormal="75" workbookViewId="0"/>
  </sheetViews>
  <sheetFormatPr defaultRowHeight="12.75" outlineLevelRow="1"/>
  <cols>
    <col min="1" max="1" width="44.5703125" style="16" bestFit="1" customWidth="1"/>
    <col min="2" max="2" width="12" style="16" bestFit="1" customWidth="1"/>
    <col min="3" max="5" width="11.140625" style="16" customWidth="1"/>
    <col min="6" max="7" width="12" style="16" customWidth="1"/>
    <col min="8" max="8" width="12.7109375" style="16" customWidth="1"/>
    <col min="9" max="9" width="12.5703125" style="16" customWidth="1"/>
    <col min="10" max="10" width="12.7109375" style="16" customWidth="1"/>
    <col min="11" max="13" width="11.28515625" style="16" customWidth="1"/>
    <col min="14" max="14" width="11.85546875" style="16" customWidth="1"/>
    <col min="15" max="15" width="11.140625" style="16" customWidth="1"/>
    <col min="16" max="16" width="11.85546875" style="16" customWidth="1"/>
    <col min="17" max="17" width="11.140625" style="16" customWidth="1"/>
    <col min="18" max="18" width="11.5703125" style="16" customWidth="1"/>
    <col min="19" max="19" width="11.28515625" style="16" customWidth="1"/>
    <col min="20" max="21" width="11.5703125" style="16" customWidth="1"/>
    <col min="22" max="22" width="12.5703125" style="16" customWidth="1"/>
    <col min="23" max="23" width="12.7109375" style="7" customWidth="1"/>
    <col min="24" max="24" width="12.28515625" style="7" customWidth="1"/>
    <col min="25" max="25" width="13.85546875" style="7" bestFit="1" customWidth="1"/>
    <col min="26" max="27" width="9.85546875" style="16" customWidth="1"/>
    <col min="28" max="28" width="9.140625" style="16"/>
    <col min="29" max="29" width="9.42578125" style="16" customWidth="1"/>
    <col min="30" max="30" width="9.85546875" style="16" customWidth="1"/>
    <col min="31" max="31" width="9.140625" style="16"/>
    <col min="32" max="32" width="9.42578125" style="16" customWidth="1"/>
    <col min="33" max="34" width="9.85546875" style="16" customWidth="1"/>
    <col min="35" max="36" width="9.140625" style="16"/>
    <col min="37" max="38" width="9.85546875" style="16" customWidth="1"/>
    <col min="39" max="80" width="9.140625" style="16"/>
    <col min="81" max="82" width="9.85546875" style="16" customWidth="1"/>
    <col min="83" max="16384" width="9.140625" style="16"/>
  </cols>
  <sheetData>
    <row r="2" spans="1:55" ht="18.75">
      <c r="A2" s="52" t="s">
        <v>102</v>
      </c>
      <c r="B2" s="52"/>
    </row>
    <row r="5" spans="1:55" ht="18.75">
      <c r="A5" s="150" t="s">
        <v>152</v>
      </c>
      <c r="B5" s="150"/>
    </row>
    <row r="6" spans="1:55">
      <c r="W6" s="151"/>
      <c r="X6" s="151"/>
    </row>
    <row r="7" spans="1:55" ht="13.5" outlineLevel="1" thickBot="1">
      <c r="A7" s="194" t="s">
        <v>56</v>
      </c>
      <c r="B7" s="306" t="s">
        <v>120</v>
      </c>
      <c r="C7" s="8">
        <v>2001</v>
      </c>
      <c r="D7" s="8">
        <f t="shared" ref="D7:V7" si="0">C7+1</f>
        <v>2002</v>
      </c>
      <c r="E7" s="8">
        <f t="shared" si="0"/>
        <v>2003</v>
      </c>
      <c r="F7" s="8">
        <f>E7+1</f>
        <v>2004</v>
      </c>
      <c r="G7" s="8">
        <f t="shared" si="0"/>
        <v>2005</v>
      </c>
      <c r="H7" s="8">
        <f t="shared" si="0"/>
        <v>2006</v>
      </c>
      <c r="I7" s="8">
        <f t="shared" si="0"/>
        <v>2007</v>
      </c>
      <c r="J7" s="8">
        <f t="shared" si="0"/>
        <v>2008</v>
      </c>
      <c r="K7" s="8">
        <f t="shared" si="0"/>
        <v>2009</v>
      </c>
      <c r="L7" s="8">
        <f>K7+1</f>
        <v>2010</v>
      </c>
      <c r="M7" s="8">
        <f t="shared" si="0"/>
        <v>2011</v>
      </c>
      <c r="N7" s="8">
        <f t="shared" si="0"/>
        <v>2012</v>
      </c>
      <c r="O7" s="8">
        <f t="shared" si="0"/>
        <v>2013</v>
      </c>
      <c r="P7" s="8">
        <f t="shared" si="0"/>
        <v>2014</v>
      </c>
      <c r="Q7" s="8">
        <f t="shared" si="0"/>
        <v>2015</v>
      </c>
      <c r="R7" s="8">
        <f t="shared" si="0"/>
        <v>2016</v>
      </c>
      <c r="S7" s="8">
        <f t="shared" si="0"/>
        <v>2017</v>
      </c>
      <c r="T7" s="8">
        <f t="shared" si="0"/>
        <v>2018</v>
      </c>
      <c r="U7" s="8">
        <f t="shared" si="0"/>
        <v>2019</v>
      </c>
      <c r="V7" s="8">
        <f t="shared" si="0"/>
        <v>2020</v>
      </c>
      <c r="W7" s="268" t="s">
        <v>20</v>
      </c>
      <c r="X7" s="540" t="s">
        <v>160</v>
      </c>
      <c r="Y7" s="540"/>
    </row>
    <row r="8" spans="1:55" outlineLevel="1">
      <c r="A8" s="224"/>
      <c r="B8" s="257">
        <f>'Summary Output'!B32</f>
        <v>36892</v>
      </c>
      <c r="C8" s="257">
        <v>37256</v>
      </c>
      <c r="D8" s="257">
        <v>37621</v>
      </c>
      <c r="E8" s="257">
        <v>37986</v>
      </c>
      <c r="F8" s="257">
        <v>38352</v>
      </c>
      <c r="G8" s="257">
        <v>38717</v>
      </c>
      <c r="H8" s="257">
        <v>39082</v>
      </c>
      <c r="I8" s="257">
        <v>39447</v>
      </c>
      <c r="J8" s="257">
        <v>39813</v>
      </c>
      <c r="K8" s="257">
        <v>40178</v>
      </c>
      <c r="L8" s="257">
        <v>40543</v>
      </c>
      <c r="M8" s="257">
        <v>40908</v>
      </c>
      <c r="N8" s="257">
        <v>41274</v>
      </c>
      <c r="O8" s="257">
        <v>41639</v>
      </c>
      <c r="P8" s="257">
        <v>42004</v>
      </c>
      <c r="Q8" s="257">
        <v>42369</v>
      </c>
      <c r="R8" s="257">
        <v>42735</v>
      </c>
      <c r="S8" s="257">
        <v>43100</v>
      </c>
      <c r="T8" s="257">
        <v>43465</v>
      </c>
      <c r="U8" s="257">
        <v>43830</v>
      </c>
      <c r="V8" s="257">
        <v>44196</v>
      </c>
      <c r="W8" s="269"/>
      <c r="X8" s="402"/>
      <c r="Y8" s="401"/>
    </row>
    <row r="9" spans="1:55" outlineLevel="1">
      <c r="A9" s="2"/>
      <c r="B9" s="2"/>
      <c r="C9" s="9"/>
      <c r="D9" s="9"/>
      <c r="E9" s="9"/>
      <c r="F9" s="9"/>
      <c r="G9" s="266"/>
      <c r="H9" s="266"/>
      <c r="I9" s="267"/>
      <c r="J9" s="267"/>
      <c r="K9" s="266"/>
      <c r="L9" s="266"/>
      <c r="M9" s="9"/>
      <c r="N9" s="9"/>
      <c r="O9" s="9"/>
      <c r="P9" s="9"/>
      <c r="Q9" s="9"/>
      <c r="R9" s="9"/>
      <c r="S9" s="9"/>
      <c r="T9" s="9"/>
      <c r="U9" s="9"/>
      <c r="V9" s="9"/>
      <c r="W9" s="269"/>
      <c r="X9" s="402"/>
      <c r="Y9" s="401"/>
    </row>
    <row r="10" spans="1:55">
      <c r="A10" s="12" t="s">
        <v>280</v>
      </c>
      <c r="B10" s="19">
        <v>0</v>
      </c>
      <c r="C10" s="19">
        <f>IS!B32-IS!B13</f>
        <v>123624.03367595082</v>
      </c>
      <c r="D10" s="19">
        <f>IS!C32-IS!C13</f>
        <v>123040.164143352</v>
      </c>
      <c r="E10" s="19">
        <f>IS!D32-IS!D13</f>
        <v>122528.8210162394</v>
      </c>
      <c r="F10" s="19">
        <f>IS!E32</f>
        <v>208641.89506415479</v>
      </c>
      <c r="G10" s="19">
        <f>IS!F32</f>
        <v>219571.38858954672</v>
      </c>
      <c r="H10" s="19">
        <f>IS!G32</f>
        <v>222748.08907105596</v>
      </c>
      <c r="I10" s="19">
        <f>IS!H32</f>
        <v>226026.51564509617</v>
      </c>
      <c r="J10" s="19">
        <f>IS!I32</f>
        <v>229411.73409421794</v>
      </c>
      <c r="K10" s="19">
        <f>IS!J32</f>
        <v>232971.36608796619</v>
      </c>
      <c r="L10" s="19">
        <f>IS!K32</f>
        <v>235682.43233662855</v>
      </c>
      <c r="M10" s="19">
        <f>IS!L32</f>
        <v>240094.86282232217</v>
      </c>
      <c r="N10" s="19">
        <f>IS!M32</f>
        <v>244770.77013265615</v>
      </c>
      <c r="O10" s="19">
        <f>IS!N32</f>
        <v>249016.1884534487</v>
      </c>
      <c r="P10" s="19">
        <f>IS!O32</f>
        <v>253427.76210803911</v>
      </c>
      <c r="Q10" s="19">
        <f>IS!P32</f>
        <v>257417.12440908083</v>
      </c>
      <c r="R10" s="19">
        <f>IS!Q32</f>
        <v>261562.56449006911</v>
      </c>
      <c r="S10" s="19">
        <f>IS!R32</f>
        <v>265152.5443134419</v>
      </c>
      <c r="T10" s="19">
        <f>IS!S32</f>
        <v>268784.07115417178</v>
      </c>
      <c r="U10" s="19">
        <f>IS!T32</f>
        <v>272457.44320771948</v>
      </c>
      <c r="V10" s="19">
        <f>IS!U32</f>
        <v>276182.3279452945</v>
      </c>
      <c r="W10" s="270">
        <f>SUM(C10:V10)</f>
        <v>4533112.0987604521</v>
      </c>
      <c r="X10" s="403">
        <f>SUM(Caledonia!W54,'New Albany'!W54,Wheatland!W54,Wilton!W54,Brownsville!W54,Gleason!W54)</f>
        <v>4533112.0987604521</v>
      </c>
      <c r="Y10" s="404">
        <f>W10-X10</f>
        <v>0</v>
      </c>
    </row>
    <row r="11" spans="1:5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59"/>
      <c r="X11" s="401"/>
      <c r="Y11" s="401"/>
    </row>
    <row r="12" spans="1:55" s="7" customFormat="1" ht="12" customHeight="1">
      <c r="A12" s="13" t="s">
        <v>168</v>
      </c>
      <c r="B12" s="22">
        <v>0</v>
      </c>
      <c r="C12" s="67">
        <f>IS!B27</f>
        <v>2138.7599999999998</v>
      </c>
      <c r="D12" s="67">
        <f>IS!C27</f>
        <v>2485.4070000000002</v>
      </c>
      <c r="E12" s="67">
        <f>IS!D27</f>
        <v>2675.4930000000004</v>
      </c>
      <c r="F12" s="67">
        <f>IS!E27</f>
        <v>2752.7350000000001</v>
      </c>
      <c r="G12" s="67">
        <f>IS!F27</f>
        <v>2800.4010000000003</v>
      </c>
      <c r="H12" s="67">
        <f>IS!G27</f>
        <v>3000.837</v>
      </c>
      <c r="I12" s="67">
        <f>IS!H27</f>
        <v>3133.239</v>
      </c>
      <c r="J12" s="67">
        <f>IS!I27</f>
        <v>3204.1120000000001</v>
      </c>
      <c r="K12" s="67">
        <f>IS!J27</f>
        <v>3150.1800000000003</v>
      </c>
      <c r="L12" s="67">
        <f>IS!K27</f>
        <v>3985.1379999999999</v>
      </c>
      <c r="M12" s="67">
        <f>IS!L27</f>
        <v>3774.3130000000001</v>
      </c>
      <c r="N12" s="67">
        <f>IS!M27</f>
        <v>3371.88</v>
      </c>
      <c r="O12" s="67">
        <f>IS!N27</f>
        <v>3464.7</v>
      </c>
      <c r="P12" s="67">
        <f>IS!O27</f>
        <v>3464.7</v>
      </c>
      <c r="Q12" s="67">
        <f>IS!P27</f>
        <v>3953.498301179623</v>
      </c>
      <c r="R12" s="67">
        <f>IS!Q27</f>
        <v>3397.5323122032155</v>
      </c>
      <c r="S12" s="67">
        <f>IS!R27</f>
        <v>3421.1349584472796</v>
      </c>
      <c r="T12" s="67">
        <f>IS!S27</f>
        <v>3445.2096576162253</v>
      </c>
      <c r="U12" s="67">
        <f>IS!T27</f>
        <v>3469.7658507685501</v>
      </c>
      <c r="V12" s="67">
        <f>IS!U27</f>
        <v>3485.5551622965972</v>
      </c>
      <c r="W12" s="270">
        <f>SUM(C12:V12)</f>
        <v>64574.591242511466</v>
      </c>
      <c r="X12" s="403">
        <f>SUM(IS!B27:U27)</f>
        <v>64574.591242511466</v>
      </c>
      <c r="Y12" s="404">
        <f>W12-X12</f>
        <v>0</v>
      </c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</row>
    <row r="13" spans="1:55" s="7" customFormat="1">
      <c r="A13" s="13" t="s">
        <v>169</v>
      </c>
      <c r="B13" s="22">
        <v>0</v>
      </c>
      <c r="C13" s="67">
        <f>SUM(Brownsville!B56,Caledonia!B56,'New Albany'!B56,Gleason!B56,Wheatland!B56,Wilton!B56)</f>
        <v>-1959.1981014</v>
      </c>
      <c r="D13" s="67">
        <f>-C12</f>
        <v>-2138.7599999999998</v>
      </c>
      <c r="E13" s="67">
        <f t="shared" ref="E13:V13" si="1">-D12</f>
        <v>-2485.4070000000002</v>
      </c>
      <c r="F13" s="67">
        <f t="shared" si="1"/>
        <v>-2675.4930000000004</v>
      </c>
      <c r="G13" s="67">
        <f t="shared" si="1"/>
        <v>-2752.7350000000001</v>
      </c>
      <c r="H13" s="67">
        <f t="shared" si="1"/>
        <v>-2800.4010000000003</v>
      </c>
      <c r="I13" s="67">
        <f t="shared" si="1"/>
        <v>-3000.837</v>
      </c>
      <c r="J13" s="67">
        <f t="shared" si="1"/>
        <v>-3133.239</v>
      </c>
      <c r="K13" s="67">
        <f t="shared" si="1"/>
        <v>-3204.1120000000001</v>
      </c>
      <c r="L13" s="67">
        <f t="shared" si="1"/>
        <v>-3150.1800000000003</v>
      </c>
      <c r="M13" s="67">
        <f t="shared" si="1"/>
        <v>-3985.1379999999999</v>
      </c>
      <c r="N13" s="67">
        <f t="shared" si="1"/>
        <v>-3774.3130000000001</v>
      </c>
      <c r="O13" s="67">
        <f t="shared" si="1"/>
        <v>-3371.88</v>
      </c>
      <c r="P13" s="67">
        <f t="shared" si="1"/>
        <v>-3464.7</v>
      </c>
      <c r="Q13" s="67">
        <f t="shared" si="1"/>
        <v>-3464.7</v>
      </c>
      <c r="R13" s="67">
        <f t="shared" si="1"/>
        <v>-3953.498301179623</v>
      </c>
      <c r="S13" s="67">
        <f t="shared" si="1"/>
        <v>-3397.5323122032155</v>
      </c>
      <c r="T13" s="67">
        <f t="shared" si="1"/>
        <v>-3421.1349584472796</v>
      </c>
      <c r="U13" s="67">
        <f t="shared" si="1"/>
        <v>-3445.2096576162253</v>
      </c>
      <c r="V13" s="67">
        <f t="shared" si="1"/>
        <v>-3469.7658507685501</v>
      </c>
      <c r="W13" s="270">
        <f>SUM(C13:V13)</f>
        <v>-63048.234181614876</v>
      </c>
      <c r="X13" s="403">
        <f>SUM(Caledonia!W56,'New Albany'!W56,Wheatland!W56,Wilton!W56,Brownsville!W56,Gleason!W56)</f>
        <v>-63048.234181614891</v>
      </c>
      <c r="Y13" s="404">
        <f>W13-X13</f>
        <v>0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13" t="s">
        <v>97</v>
      </c>
      <c r="B14" s="22">
        <v>0</v>
      </c>
      <c r="C14" s="22">
        <f>-Debt!B75</f>
        <v>-15500</v>
      </c>
      <c r="D14" s="22">
        <f>-Debt!C75</f>
        <v>-16625</v>
      </c>
      <c r="E14" s="22">
        <f>-Debt!D75</f>
        <v>-17875</v>
      </c>
      <c r="F14" s="22">
        <f>-Debt!E75</f>
        <v>-17850</v>
      </c>
      <c r="G14" s="22">
        <f>-Debt!F75</f>
        <v>-24570</v>
      </c>
      <c r="H14" s="22">
        <f>-Debt!G75</f>
        <v>-27930</v>
      </c>
      <c r="I14" s="22">
        <f>-Debt!H75</f>
        <v>-30449.999999999996</v>
      </c>
      <c r="J14" s="22">
        <f>-Debt!I75</f>
        <v>-34650</v>
      </c>
      <c r="K14" s="22">
        <f>-Debt!J75</f>
        <v>-38010</v>
      </c>
      <c r="L14" s="22">
        <f>-Debt!K75</f>
        <v>-43664.999999999985</v>
      </c>
      <c r="M14" s="22">
        <f>-Debt!L75</f>
        <v>-47500</v>
      </c>
      <c r="N14" s="22">
        <f>-Debt!M75</f>
        <v>-47500</v>
      </c>
      <c r="O14" s="22">
        <f>-Debt!N75</f>
        <v>-47500</v>
      </c>
      <c r="P14" s="22">
        <f>-Debt!O75</f>
        <v>-47500</v>
      </c>
      <c r="Q14" s="22">
        <f>-Debt!P75</f>
        <v>-49875</v>
      </c>
      <c r="R14" s="22">
        <f>-Debt!Q75</f>
        <v>-52250</v>
      </c>
      <c r="S14" s="22">
        <f>-Debt!R75</f>
        <v>-52250</v>
      </c>
      <c r="T14" s="22">
        <f>-Debt!S75</f>
        <v>-42750</v>
      </c>
      <c r="U14" s="22">
        <f>-Debt!T75</f>
        <v>-42750</v>
      </c>
      <c r="V14" s="22">
        <f>-Debt!U75</f>
        <v>-38000.000000000044</v>
      </c>
      <c r="W14" s="270">
        <f>SUM(C14:V14)</f>
        <v>-735000</v>
      </c>
      <c r="X14" s="403">
        <f>SUM(Debt!B75:U75)</f>
        <v>735000</v>
      </c>
      <c r="Y14" s="404">
        <f>W14+X14</f>
        <v>0</v>
      </c>
    </row>
    <row r="15" spans="1:55">
      <c r="A15" s="13" t="s">
        <v>96</v>
      </c>
      <c r="B15" s="328">
        <v>0</v>
      </c>
      <c r="C15" s="328">
        <f>-Debt!B76</f>
        <v>-80195.063655030797</v>
      </c>
      <c r="D15" s="328">
        <f>-Debt!C76</f>
        <v>-78991.765229295008</v>
      </c>
      <c r="E15" s="328">
        <f>-Debt!D76</f>
        <v>-77294.472108145099</v>
      </c>
      <c r="F15" s="328">
        <f>-Debt!E76</f>
        <v>-75962.102669404514</v>
      </c>
      <c r="G15" s="328">
        <f>-Debt!F76</f>
        <v>-73604.857221081445</v>
      </c>
      <c r="H15" s="328">
        <f>-Debt!G76</f>
        <v>-70810.911430527034</v>
      </c>
      <c r="I15" s="328">
        <f>-Debt!H76</f>
        <v>-67670.892539356602</v>
      </c>
      <c r="J15" s="328">
        <f>-Debt!I76</f>
        <v>-64385.856262833673</v>
      </c>
      <c r="K15" s="328">
        <f>-Debt!J76</f>
        <v>-60305.328678986996</v>
      </c>
      <c r="L15" s="328">
        <f>-Debt!K76</f>
        <v>-55783.800136892532</v>
      </c>
      <c r="M15" s="328">
        <f>-Debt!L76</f>
        <v>-51026.119096509239</v>
      </c>
      <c r="N15" s="328">
        <f>-Debt!M76</f>
        <v>-45838.663928815877</v>
      </c>
      <c r="O15" s="328">
        <f>-Debt!N76</f>
        <v>-40393.401779603009</v>
      </c>
      <c r="P15" s="328">
        <f>-Debt!O76</f>
        <v>-35077.043121149894</v>
      </c>
      <c r="Q15" s="328">
        <f>-Debt!P76</f>
        <v>-29693.683778234088</v>
      </c>
      <c r="R15" s="328">
        <f>-Debt!Q76</f>
        <v>-24114.420260095823</v>
      </c>
      <c r="S15" s="328">
        <f>-Debt!R76</f>
        <v>-18196.511978097195</v>
      </c>
      <c r="T15" s="328">
        <f>-Debt!S76</f>
        <v>-12616.520191649557</v>
      </c>
      <c r="U15" s="328">
        <f>-Debt!T76</f>
        <v>-7831.7973990417522</v>
      </c>
      <c r="V15" s="328">
        <f>-Debt!U76</f>
        <v>-3058.7268993839834</v>
      </c>
      <c r="W15" s="272">
        <f>SUM(C15:V15)</f>
        <v>-972851.93836413382</v>
      </c>
      <c r="X15" s="403">
        <f>SUM(Debt!B76:U76)</f>
        <v>972851.93836413382</v>
      </c>
      <c r="Y15" s="404">
        <f>W15+X15</f>
        <v>0</v>
      </c>
    </row>
    <row r="16" spans="1:55">
      <c r="A16" s="13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56"/>
      <c r="X16" s="403"/>
      <c r="Y16" s="44"/>
    </row>
    <row r="17" spans="1:27">
      <c r="A17" s="12" t="s">
        <v>247</v>
      </c>
      <c r="B17" s="33">
        <f>SUM(B10:B15)</f>
        <v>0</v>
      </c>
      <c r="C17" s="33">
        <f>SUM(C10:C15)</f>
        <v>28108.531919520014</v>
      </c>
      <c r="D17" s="33">
        <f t="shared" ref="D17:V17" si="2">SUM(D10:D15)</f>
        <v>27770.045914057002</v>
      </c>
      <c r="E17" s="33">
        <f t="shared" si="2"/>
        <v>27549.434908094292</v>
      </c>
      <c r="F17" s="33">
        <f t="shared" si="2"/>
        <v>114907.03439475027</v>
      </c>
      <c r="G17" s="33">
        <f t="shared" si="2"/>
        <v>121444.19736846531</v>
      </c>
      <c r="H17" s="33">
        <f t="shared" si="2"/>
        <v>124207.61364052891</v>
      </c>
      <c r="I17" s="33">
        <f t="shared" si="2"/>
        <v>128038.02510573957</v>
      </c>
      <c r="J17" s="33">
        <f t="shared" si="2"/>
        <v>130446.75083138427</v>
      </c>
      <c r="K17" s="33">
        <f t="shared" si="2"/>
        <v>134602.1054089792</v>
      </c>
      <c r="L17" s="33">
        <f t="shared" si="2"/>
        <v>137068.59019973606</v>
      </c>
      <c r="M17" s="33">
        <f t="shared" si="2"/>
        <v>141357.91872581292</v>
      </c>
      <c r="N17" s="33">
        <f t="shared" si="2"/>
        <v>151029.67320384027</v>
      </c>
      <c r="O17" s="33">
        <f t="shared" si="2"/>
        <v>161215.6066738457</v>
      </c>
      <c r="P17" s="33">
        <f t="shared" si="2"/>
        <v>170850.71898688923</v>
      </c>
      <c r="Q17" s="33">
        <f t="shared" si="2"/>
        <v>178337.23893202635</v>
      </c>
      <c r="R17" s="33">
        <f t="shared" si="2"/>
        <v>184642.17824099687</v>
      </c>
      <c r="S17" s="33">
        <f t="shared" si="2"/>
        <v>194729.63498158881</v>
      </c>
      <c r="T17" s="33">
        <f t="shared" si="2"/>
        <v>213441.62566169113</v>
      </c>
      <c r="U17" s="33">
        <f t="shared" si="2"/>
        <v>221900.20200183004</v>
      </c>
      <c r="V17" s="33">
        <f t="shared" si="2"/>
        <v>235139.39035743847</v>
      </c>
      <c r="W17" s="270">
        <f>SUM(C17:V17)</f>
        <v>2826786.5174572146</v>
      </c>
      <c r="X17" s="403">
        <f>SUM(Caledonia!W59,'New Albany'!W59,Wheatland!W59,Wilton!W59,Brownsville!W59,Gleason!W59)</f>
        <v>2826786.5174572142</v>
      </c>
      <c r="Y17" s="44"/>
    </row>
    <row r="18" spans="1:27">
      <c r="A18" s="12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56"/>
      <c r="X18" s="401"/>
      <c r="Y18" s="44"/>
    </row>
    <row r="19" spans="1:27">
      <c r="A19" s="3" t="s">
        <v>209</v>
      </c>
      <c r="B19" s="19">
        <v>0</v>
      </c>
      <c r="C19" s="19">
        <f>-Tax!B8</f>
        <v>-296.48996776542862</v>
      </c>
      <c r="D19" s="19">
        <f>-Tax!C8</f>
        <v>-297.14384874839141</v>
      </c>
      <c r="E19" s="19">
        <f>-Tax!D8</f>
        <v>-297.8207467523431</v>
      </c>
      <c r="F19" s="19">
        <f>-Tax!E8</f>
        <v>-540.19017382831646</v>
      </c>
      <c r="G19" s="19">
        <f>-Tax!F8</f>
        <v>-788.12514419986553</v>
      </c>
      <c r="H19" s="19">
        <f>-Tax!G8</f>
        <v>-1907.2100077232219</v>
      </c>
      <c r="I19" s="19">
        <f>-Tax!H8</f>
        <v>-3772.6611286738225</v>
      </c>
      <c r="J19" s="19">
        <f>-Tax!I8</f>
        <v>-4843.4329753784532</v>
      </c>
      <c r="K19" s="19">
        <f>-Tax!J8</f>
        <v>-6215.9971303845396</v>
      </c>
      <c r="L19" s="19">
        <f>-Tax!K8</f>
        <v>-6686.9996953456812</v>
      </c>
      <c r="M19" s="19">
        <f>-Tax!L8</f>
        <v>-7262.3559767148554</v>
      </c>
      <c r="N19" s="19">
        <f>-Tax!M8</f>
        <v>-7868.2583874402299</v>
      </c>
      <c r="O19" s="19">
        <f>-Tax!N8</f>
        <v>-8481.3339761145835</v>
      </c>
      <c r="P19" s="19">
        <f>-Tax!O8</f>
        <v>-9083.8176342563092</v>
      </c>
      <c r="Q19" s="19">
        <f>-Tax!P8</f>
        <v>-9680.4505470817421</v>
      </c>
      <c r="R19" s="19">
        <f>-Tax!Q8</f>
        <v>-12525.745107374209</v>
      </c>
      <c r="S19" s="19">
        <f>-Tax!R8</f>
        <v>-15359.395031746557</v>
      </c>
      <c r="T19" s="19">
        <f>-Tax!S8</f>
        <v>-15942.780156855744</v>
      </c>
      <c r="U19" s="19">
        <f>-Tax!T8</f>
        <v>-16478.665116239335</v>
      </c>
      <c r="V19" s="19">
        <f>-Tax!U8</f>
        <v>-17017.110892611516</v>
      </c>
      <c r="W19" s="270">
        <f>SUM(C19:V19)</f>
        <v>-145345.98364523516</v>
      </c>
      <c r="X19" s="403">
        <f>SUM(Caledonia!W61,'New Albany'!W61,Wheatland!W61,Wilton!W61,Brownsville!W61,Gleason!W61)</f>
        <v>-145345.98364523513</v>
      </c>
      <c r="Y19" s="404">
        <f>W19-X19</f>
        <v>0</v>
      </c>
    </row>
    <row r="20" spans="1:27">
      <c r="A20" s="3" t="s">
        <v>210</v>
      </c>
      <c r="B20" s="198">
        <v>0</v>
      </c>
      <c r="C20" s="198">
        <f>-Tax!B24</f>
        <v>0</v>
      </c>
      <c r="D20" s="198">
        <f>-Tax!C24</f>
        <v>0</v>
      </c>
      <c r="E20" s="198">
        <f>-Tax!D24</f>
        <v>0</v>
      </c>
      <c r="F20" s="198">
        <f>-Tax!E24</f>
        <v>0</v>
      </c>
      <c r="G20" s="198">
        <f>-Tax!F24</f>
        <v>0</v>
      </c>
      <c r="H20" s="198">
        <f>-Tax!G24</f>
        <v>0</v>
      </c>
      <c r="I20" s="198">
        <f>-Tax!H24</f>
        <v>-21085.400467202435</v>
      </c>
      <c r="J20" s="198">
        <f>-Tax!I24</f>
        <v>-28925.135699602026</v>
      </c>
      <c r="K20" s="198">
        <f>-Tax!J24</f>
        <v>-31164.714097508135</v>
      </c>
      <c r="L20" s="198">
        <f>-Tax!K24</f>
        <v>-33485.351376536615</v>
      </c>
      <c r="M20" s="198">
        <f>-Tax!L24</f>
        <v>-36539.435712184328</v>
      </c>
      <c r="N20" s="198">
        <f>-Tax!M24</f>
        <v>-39733.626735740021</v>
      </c>
      <c r="O20" s="198">
        <f>-Tax!N24</f>
        <v>-42956.708444205899</v>
      </c>
      <c r="P20" s="198">
        <f>-Tax!O24</f>
        <v>-46104.695473421511</v>
      </c>
      <c r="Q20" s="198">
        <f>-Tax!P24</f>
        <v>-49222.246529317759</v>
      </c>
      <c r="R20" s="198">
        <f>-Tax!Q24</f>
        <v>-65176.439692909669</v>
      </c>
      <c r="S20" s="198">
        <f>-Tax!R24</f>
        <v>-81058.823056259338</v>
      </c>
      <c r="T20" s="198">
        <f>-Tax!S24</f>
        <v>-84078.669781983263</v>
      </c>
      <c r="U20" s="198">
        <f>-Tax!T24</f>
        <v>-86851.443242353431</v>
      </c>
      <c r="V20" s="198">
        <f>-Tax!U24</f>
        <v>-89637.271553654631</v>
      </c>
      <c r="W20" s="272">
        <f>SUM(C20:V20)</f>
        <v>-736019.96186287887</v>
      </c>
      <c r="X20" s="403">
        <f>SUM(Caledonia!W62,'New Albany'!W62,Wheatland!W62,Wilton!W62,Brownsville!W62,Gleason!W62)</f>
        <v>-736019.96186287911</v>
      </c>
      <c r="Y20" s="404">
        <f>W20-X20</f>
        <v>0</v>
      </c>
    </row>
    <row r="21" spans="1:27">
      <c r="A21" s="13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341"/>
      <c r="X21" s="405"/>
      <c r="Y21" s="44"/>
    </row>
    <row r="22" spans="1:27" s="15" customFormat="1">
      <c r="A22" s="12" t="s">
        <v>248</v>
      </c>
      <c r="B22" s="33">
        <f t="shared" ref="B22:W22" si="3">SUM(B20,B19,B17)</f>
        <v>0</v>
      </c>
      <c r="C22" s="33">
        <f t="shared" si="3"/>
        <v>27812.041951754585</v>
      </c>
      <c r="D22" s="33">
        <f t="shared" si="3"/>
        <v>27472.902065308612</v>
      </c>
      <c r="E22" s="33">
        <f t="shared" si="3"/>
        <v>27251.61416134195</v>
      </c>
      <c r="F22" s="33">
        <f t="shared" si="3"/>
        <v>114366.84422092195</v>
      </c>
      <c r="G22" s="33">
        <f t="shared" si="3"/>
        <v>120656.07222426544</v>
      </c>
      <c r="H22" s="33">
        <f t="shared" si="3"/>
        <v>122300.4036328057</v>
      </c>
      <c r="I22" s="33">
        <f t="shared" si="3"/>
        <v>103179.9635098633</v>
      </c>
      <c r="J22" s="33">
        <f t="shared" si="3"/>
        <v>96678.182156403782</v>
      </c>
      <c r="K22" s="33">
        <f t="shared" si="3"/>
        <v>97221.394181086536</v>
      </c>
      <c r="L22" s="33">
        <f t="shared" si="3"/>
        <v>96896.239127853769</v>
      </c>
      <c r="M22" s="33">
        <f t="shared" si="3"/>
        <v>97556.127036913735</v>
      </c>
      <c r="N22" s="33">
        <f t="shared" si="3"/>
        <v>103427.78808066002</v>
      </c>
      <c r="O22" s="33">
        <f t="shared" si="3"/>
        <v>109777.56425352523</v>
      </c>
      <c r="P22" s="33">
        <f t="shared" si="3"/>
        <v>115662.20587921141</v>
      </c>
      <c r="Q22" s="33">
        <f t="shared" si="3"/>
        <v>119434.54185562684</v>
      </c>
      <c r="R22" s="33">
        <f t="shared" si="3"/>
        <v>106939.99344071299</v>
      </c>
      <c r="S22" s="33">
        <f t="shared" si="3"/>
        <v>98311.416893582908</v>
      </c>
      <c r="T22" s="33">
        <f t="shared" si="3"/>
        <v>113420.17572285212</v>
      </c>
      <c r="U22" s="33">
        <f t="shared" si="3"/>
        <v>118570.09364323727</v>
      </c>
      <c r="V22" s="33">
        <f t="shared" si="3"/>
        <v>128485.00791117233</v>
      </c>
      <c r="W22" s="271">
        <f t="shared" si="3"/>
        <v>1945420.5719491006</v>
      </c>
      <c r="X22" s="403">
        <f>SUM(Caledonia!W64,'New Albany'!W64,Wheatland!W64,Wilton!W64,Brownsville!W64,Gleason!W64)</f>
        <v>1945420.5719491004</v>
      </c>
      <c r="Y22" s="404">
        <f>W22-X22</f>
        <v>0</v>
      </c>
      <c r="Z22" s="16"/>
      <c r="AA22" s="16"/>
    </row>
    <row r="23" spans="1:27">
      <c r="A23" s="13"/>
      <c r="B23" s="51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341"/>
      <c r="X23" s="152"/>
      <c r="Y23" s="16"/>
    </row>
    <row r="24" spans="1:27">
      <c r="A24" s="13"/>
      <c r="B24" s="144"/>
      <c r="C24" s="144"/>
      <c r="D24" s="144"/>
      <c r="E24" s="144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152"/>
    </row>
    <row r="25" spans="1:27" ht="18.75">
      <c r="A25" s="150" t="s">
        <v>74</v>
      </c>
    </row>
    <row r="26" spans="1:27" ht="12" customHeight="1">
      <c r="A26" s="150"/>
    </row>
    <row r="27" spans="1:27" ht="13.5" thickBot="1">
      <c r="A27" s="194" t="s">
        <v>56</v>
      </c>
      <c r="B27" s="306" t="s">
        <v>120</v>
      </c>
      <c r="C27" s="8">
        <v>2001</v>
      </c>
      <c r="D27" s="8">
        <f t="shared" ref="D27:V27" si="4">C27+1</f>
        <v>2002</v>
      </c>
      <c r="E27" s="8">
        <f t="shared" si="4"/>
        <v>2003</v>
      </c>
      <c r="F27" s="8">
        <f t="shared" si="4"/>
        <v>2004</v>
      </c>
      <c r="G27" s="8">
        <f t="shared" si="4"/>
        <v>2005</v>
      </c>
      <c r="H27" s="8">
        <f t="shared" si="4"/>
        <v>2006</v>
      </c>
      <c r="I27" s="8">
        <f t="shared" si="4"/>
        <v>2007</v>
      </c>
      <c r="J27" s="8">
        <f t="shared" si="4"/>
        <v>2008</v>
      </c>
      <c r="K27" s="8">
        <f t="shared" si="4"/>
        <v>2009</v>
      </c>
      <c r="L27" s="8">
        <f t="shared" si="4"/>
        <v>2010</v>
      </c>
      <c r="M27" s="8">
        <f t="shared" si="4"/>
        <v>2011</v>
      </c>
      <c r="N27" s="8">
        <f t="shared" si="4"/>
        <v>2012</v>
      </c>
      <c r="O27" s="8">
        <f t="shared" si="4"/>
        <v>2013</v>
      </c>
      <c r="P27" s="8">
        <f t="shared" si="4"/>
        <v>2014</v>
      </c>
      <c r="Q27" s="8">
        <f t="shared" si="4"/>
        <v>2015</v>
      </c>
      <c r="R27" s="8">
        <f t="shared" si="4"/>
        <v>2016</v>
      </c>
      <c r="S27" s="8">
        <f t="shared" si="4"/>
        <v>2017</v>
      </c>
      <c r="T27" s="8">
        <f t="shared" si="4"/>
        <v>2018</v>
      </c>
      <c r="U27" s="8">
        <f t="shared" si="4"/>
        <v>2019</v>
      </c>
      <c r="V27" s="8">
        <f t="shared" si="4"/>
        <v>2020</v>
      </c>
      <c r="X27" s="16"/>
    </row>
    <row r="28" spans="1:27">
      <c r="V28" s="7"/>
      <c r="X28" s="16"/>
    </row>
    <row r="29" spans="1:27">
      <c r="A29" s="16" t="s">
        <v>264</v>
      </c>
      <c r="B29" s="19">
        <f>-'Summary Output'!C8</f>
        <v>-577000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59">
        <v>0</v>
      </c>
    </row>
    <row r="30" spans="1:27">
      <c r="A30" s="16" t="s">
        <v>265</v>
      </c>
      <c r="B30" s="22">
        <f>B22</f>
        <v>0</v>
      </c>
      <c r="C30" s="22">
        <f>C22</f>
        <v>27812.041951754585</v>
      </c>
      <c r="D30" s="22">
        <f t="shared" ref="D30:V30" si="5">D22</f>
        <v>27472.902065308612</v>
      </c>
      <c r="E30" s="22">
        <f t="shared" si="5"/>
        <v>27251.61416134195</v>
      </c>
      <c r="F30" s="22">
        <f t="shared" si="5"/>
        <v>114366.84422092195</v>
      </c>
      <c r="G30" s="22">
        <f t="shared" si="5"/>
        <v>120656.07222426544</v>
      </c>
      <c r="H30" s="22">
        <f t="shared" si="5"/>
        <v>122300.4036328057</v>
      </c>
      <c r="I30" s="22">
        <f t="shared" si="5"/>
        <v>103179.9635098633</v>
      </c>
      <c r="J30" s="22">
        <f t="shared" si="5"/>
        <v>96678.182156403782</v>
      </c>
      <c r="K30" s="22">
        <f t="shared" si="5"/>
        <v>97221.394181086536</v>
      </c>
      <c r="L30" s="22">
        <f t="shared" si="5"/>
        <v>96896.239127853769</v>
      </c>
      <c r="M30" s="22">
        <f t="shared" si="5"/>
        <v>97556.127036913735</v>
      </c>
      <c r="N30" s="22">
        <f t="shared" si="5"/>
        <v>103427.78808066002</v>
      </c>
      <c r="O30" s="22">
        <f t="shared" si="5"/>
        <v>109777.56425352523</v>
      </c>
      <c r="P30" s="22">
        <f t="shared" si="5"/>
        <v>115662.20587921141</v>
      </c>
      <c r="Q30" s="22">
        <f t="shared" si="5"/>
        <v>119434.54185562684</v>
      </c>
      <c r="R30" s="22">
        <f t="shared" si="5"/>
        <v>106939.99344071299</v>
      </c>
      <c r="S30" s="22">
        <f t="shared" si="5"/>
        <v>98311.416893582908</v>
      </c>
      <c r="T30" s="22">
        <f t="shared" si="5"/>
        <v>113420.17572285212</v>
      </c>
      <c r="U30" s="22">
        <f t="shared" si="5"/>
        <v>118570.09364323727</v>
      </c>
      <c r="V30" s="22">
        <f t="shared" si="5"/>
        <v>128485.00791117233</v>
      </c>
    </row>
    <row r="31" spans="1:27">
      <c r="A31" s="16" t="s">
        <v>145</v>
      </c>
      <c r="B31" s="198">
        <v>0</v>
      </c>
      <c r="C31" s="198">
        <v>0</v>
      </c>
      <c r="D31" s="198">
        <v>0</v>
      </c>
      <c r="E31" s="198">
        <v>0</v>
      </c>
      <c r="F31" s="198">
        <v>0</v>
      </c>
      <c r="G31" s="198">
        <v>0</v>
      </c>
      <c r="H31" s="198">
        <v>0</v>
      </c>
      <c r="I31" s="198">
        <v>0</v>
      </c>
      <c r="J31" s="198">
        <v>0</v>
      </c>
      <c r="K31" s="198">
        <v>0</v>
      </c>
      <c r="L31" s="198">
        <v>0</v>
      </c>
      <c r="M31" s="198">
        <v>0</v>
      </c>
      <c r="N31" s="198">
        <v>0</v>
      </c>
      <c r="O31" s="198">
        <v>0</v>
      </c>
      <c r="P31" s="198">
        <v>0</v>
      </c>
      <c r="Q31" s="198">
        <v>0</v>
      </c>
      <c r="R31" s="198">
        <v>0</v>
      </c>
      <c r="S31" s="198">
        <v>0</v>
      </c>
      <c r="T31" s="198">
        <v>0</v>
      </c>
      <c r="U31" s="198">
        <v>0</v>
      </c>
      <c r="V31" s="198">
        <f>2*V10</f>
        <v>552364.655890589</v>
      </c>
    </row>
    <row r="32" spans="1:27">
      <c r="A32" s="16" t="s">
        <v>266</v>
      </c>
      <c r="B32" s="19">
        <f t="shared" ref="B32:V32" si="6">SUM(B29:B31)</f>
        <v>-577000</v>
      </c>
      <c r="C32" s="19">
        <f t="shared" si="6"/>
        <v>27812.041951754585</v>
      </c>
      <c r="D32" s="19">
        <f t="shared" si="6"/>
        <v>27472.902065308612</v>
      </c>
      <c r="E32" s="19">
        <f t="shared" si="6"/>
        <v>27251.61416134195</v>
      </c>
      <c r="F32" s="19">
        <f t="shared" si="6"/>
        <v>114366.84422092195</v>
      </c>
      <c r="G32" s="19">
        <f t="shared" si="6"/>
        <v>120656.07222426544</v>
      </c>
      <c r="H32" s="19">
        <f t="shared" si="6"/>
        <v>122300.4036328057</v>
      </c>
      <c r="I32" s="19">
        <f t="shared" si="6"/>
        <v>103179.9635098633</v>
      </c>
      <c r="J32" s="19">
        <f t="shared" si="6"/>
        <v>96678.182156403782</v>
      </c>
      <c r="K32" s="19">
        <f t="shared" si="6"/>
        <v>97221.394181086536</v>
      </c>
      <c r="L32" s="19">
        <f t="shared" si="6"/>
        <v>96896.239127853769</v>
      </c>
      <c r="M32" s="19">
        <f t="shared" si="6"/>
        <v>97556.127036913735</v>
      </c>
      <c r="N32" s="19">
        <f t="shared" si="6"/>
        <v>103427.78808066002</v>
      </c>
      <c r="O32" s="19">
        <f t="shared" si="6"/>
        <v>109777.56425352523</v>
      </c>
      <c r="P32" s="19">
        <f t="shared" si="6"/>
        <v>115662.20587921141</v>
      </c>
      <c r="Q32" s="19">
        <f t="shared" si="6"/>
        <v>119434.54185562684</v>
      </c>
      <c r="R32" s="19">
        <f t="shared" si="6"/>
        <v>106939.99344071299</v>
      </c>
      <c r="S32" s="19">
        <f t="shared" si="6"/>
        <v>98311.416893582908</v>
      </c>
      <c r="T32" s="19">
        <f t="shared" si="6"/>
        <v>113420.17572285212</v>
      </c>
      <c r="U32" s="19">
        <f t="shared" si="6"/>
        <v>118570.09364323727</v>
      </c>
      <c r="V32" s="19">
        <f t="shared" si="6"/>
        <v>680849.66380176134</v>
      </c>
    </row>
    <row r="33" spans="1:22">
      <c r="A33" s="16" t="s">
        <v>75</v>
      </c>
      <c r="B33" s="529">
        <f>XIRR(B32:V32,B8:V8)</f>
        <v>0.13946786522865298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59"/>
    </row>
    <row r="35" spans="1:22"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</row>
    <row r="36" spans="1:22" customFormat="1"/>
    <row r="37" spans="1:22" customFormat="1"/>
    <row r="38" spans="1:22" customFormat="1"/>
    <row r="39" spans="1:22" customFormat="1"/>
    <row r="40" spans="1:22" customFormat="1"/>
    <row r="41" spans="1:22" customFormat="1"/>
    <row r="42" spans="1:22" customFormat="1"/>
    <row r="43" spans="1:22" customFormat="1"/>
    <row r="44" spans="1:22" customFormat="1"/>
  </sheetData>
  <mergeCells count="1">
    <mergeCell ref="X7:Y7"/>
  </mergeCells>
  <pageMargins left="0.75" right="0.75" top="1" bottom="1" header="0.5" footer="0.5"/>
  <pageSetup scale="42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2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Z111"/>
  <sheetViews>
    <sheetView zoomScale="75" zoomScaleNormal="75" workbookViewId="0"/>
  </sheetViews>
  <sheetFormatPr defaultRowHeight="12.75"/>
  <cols>
    <col min="1" max="1" width="33.5703125" style="16" customWidth="1"/>
    <col min="2" max="2" width="11.85546875" style="23" customWidth="1"/>
    <col min="3" max="4" width="11.7109375" style="23" customWidth="1"/>
    <col min="5" max="20" width="11.7109375" style="16" customWidth="1"/>
    <col min="21" max="21" width="11.85546875" style="16" customWidth="1"/>
    <col min="22" max="23" width="11.7109375" style="16" customWidth="1"/>
    <col min="24" max="38" width="15.85546875" style="16" customWidth="1"/>
    <col min="39" max="16384" width="9.140625" style="16"/>
  </cols>
  <sheetData>
    <row r="1" spans="1:22">
      <c r="B1" s="16"/>
      <c r="C1" s="16"/>
      <c r="D1" s="16"/>
    </row>
    <row r="2" spans="1:22" ht="18.75">
      <c r="A2" s="52" t="s">
        <v>116</v>
      </c>
      <c r="C2" s="419"/>
    </row>
    <row r="3" spans="1:22"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2" s="24" customFormat="1" ht="13.5" thickBot="1">
      <c r="A4" s="194" t="s">
        <v>56</v>
      </c>
      <c r="B4" s="194" t="s">
        <v>104</v>
      </c>
      <c r="C4" s="258">
        <v>37256</v>
      </c>
      <c r="D4" s="258">
        <v>37621</v>
      </c>
      <c r="E4" s="258">
        <v>37986</v>
      </c>
      <c r="F4" s="258">
        <v>38352</v>
      </c>
      <c r="G4" s="258">
        <v>38717</v>
      </c>
      <c r="H4" s="258">
        <v>39082</v>
      </c>
      <c r="I4" s="258">
        <v>39447</v>
      </c>
      <c r="J4" s="258">
        <v>39813</v>
      </c>
      <c r="K4" s="258">
        <v>40178</v>
      </c>
      <c r="L4" s="258">
        <v>40543</v>
      </c>
      <c r="M4" s="258">
        <v>40908</v>
      </c>
      <c r="N4" s="258">
        <v>41274</v>
      </c>
      <c r="O4" s="258">
        <v>41639</v>
      </c>
      <c r="P4" s="258">
        <v>42004</v>
      </c>
      <c r="Q4" s="258">
        <v>42369</v>
      </c>
      <c r="R4" s="258">
        <v>42735</v>
      </c>
      <c r="S4" s="258">
        <v>43100</v>
      </c>
      <c r="T4" s="258">
        <v>43465</v>
      </c>
      <c r="U4" s="258">
        <v>43830</v>
      </c>
      <c r="V4" s="258">
        <v>44196</v>
      </c>
    </row>
    <row r="5" spans="1:22">
      <c r="B5" s="301">
        <v>0</v>
      </c>
      <c r="C5" s="301">
        <v>1</v>
      </c>
      <c r="D5" s="301">
        <v>2</v>
      </c>
      <c r="E5" s="301">
        <f>D5+1</f>
        <v>3</v>
      </c>
      <c r="F5" s="301">
        <f t="shared" ref="F5:V5" si="0">E5+1</f>
        <v>4</v>
      </c>
      <c r="G5" s="301">
        <f t="shared" si="0"/>
        <v>5</v>
      </c>
      <c r="H5" s="301">
        <f t="shared" si="0"/>
        <v>6</v>
      </c>
      <c r="I5" s="301">
        <f t="shared" si="0"/>
        <v>7</v>
      </c>
      <c r="J5" s="301">
        <f t="shared" si="0"/>
        <v>8</v>
      </c>
      <c r="K5" s="301">
        <f t="shared" si="0"/>
        <v>9</v>
      </c>
      <c r="L5" s="301">
        <f t="shared" si="0"/>
        <v>10</v>
      </c>
      <c r="M5" s="301">
        <f t="shared" si="0"/>
        <v>11</v>
      </c>
      <c r="N5" s="301">
        <f t="shared" si="0"/>
        <v>12</v>
      </c>
      <c r="O5" s="301">
        <f t="shared" si="0"/>
        <v>13</v>
      </c>
      <c r="P5" s="301">
        <f t="shared" si="0"/>
        <v>14</v>
      </c>
      <c r="Q5" s="301">
        <f t="shared" si="0"/>
        <v>15</v>
      </c>
      <c r="R5" s="301">
        <f t="shared" si="0"/>
        <v>16</v>
      </c>
      <c r="S5" s="301">
        <f t="shared" si="0"/>
        <v>17</v>
      </c>
      <c r="T5" s="301">
        <f t="shared" si="0"/>
        <v>18</v>
      </c>
      <c r="U5" s="301">
        <f t="shared" si="0"/>
        <v>19</v>
      </c>
      <c r="V5" s="301">
        <f t="shared" si="0"/>
        <v>20</v>
      </c>
    </row>
    <row r="6" spans="1:22" s="14" customFormat="1">
      <c r="A6" s="300" t="s">
        <v>37</v>
      </c>
      <c r="B6" s="301">
        <v>0</v>
      </c>
      <c r="C6" s="301">
        <v>1</v>
      </c>
      <c r="D6" s="301">
        <v>2</v>
      </c>
      <c r="E6" s="301">
        <f>D6+1</f>
        <v>3</v>
      </c>
      <c r="F6" s="301">
        <f t="shared" ref="F6:V6" si="1">E6+1</f>
        <v>4</v>
      </c>
      <c r="G6" s="301">
        <f t="shared" si="1"/>
        <v>5</v>
      </c>
      <c r="H6" s="301">
        <f t="shared" si="1"/>
        <v>6</v>
      </c>
      <c r="I6" s="301">
        <f t="shared" si="1"/>
        <v>7</v>
      </c>
      <c r="J6" s="301">
        <f t="shared" si="1"/>
        <v>8</v>
      </c>
      <c r="K6" s="301">
        <f t="shared" si="1"/>
        <v>9</v>
      </c>
      <c r="L6" s="301">
        <f t="shared" si="1"/>
        <v>10</v>
      </c>
      <c r="M6" s="301">
        <f t="shared" si="1"/>
        <v>11</v>
      </c>
      <c r="N6" s="301">
        <f t="shared" si="1"/>
        <v>12</v>
      </c>
      <c r="O6" s="301">
        <f t="shared" si="1"/>
        <v>13</v>
      </c>
      <c r="P6" s="301">
        <f t="shared" si="1"/>
        <v>14</v>
      </c>
      <c r="Q6" s="301">
        <f t="shared" si="1"/>
        <v>15</v>
      </c>
      <c r="R6" s="301">
        <f t="shared" si="1"/>
        <v>16</v>
      </c>
      <c r="S6" s="301">
        <f t="shared" si="1"/>
        <v>17</v>
      </c>
      <c r="T6" s="301">
        <f t="shared" si="1"/>
        <v>18</v>
      </c>
      <c r="U6" s="301">
        <f t="shared" si="1"/>
        <v>19</v>
      </c>
      <c r="V6" s="301">
        <f t="shared" si="1"/>
        <v>20</v>
      </c>
    </row>
    <row r="7" spans="1:22" s="14" customFormat="1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spans="1:22">
      <c r="A8" s="39" t="s">
        <v>9</v>
      </c>
      <c r="B8" s="16"/>
      <c r="C8" s="16"/>
      <c r="D8" s="16"/>
    </row>
    <row r="9" spans="1:22">
      <c r="A9" s="21" t="s">
        <v>105</v>
      </c>
      <c r="B9" s="294">
        <v>0</v>
      </c>
      <c r="C9" s="294">
        <v>12</v>
      </c>
      <c r="D9" s="294">
        <v>12</v>
      </c>
      <c r="E9" s="294">
        <v>12</v>
      </c>
      <c r="F9" s="294">
        <v>12</v>
      </c>
      <c r="G9" s="294">
        <v>12</v>
      </c>
      <c r="H9" s="294">
        <v>12</v>
      </c>
      <c r="I9" s="294">
        <v>12</v>
      </c>
      <c r="J9" s="294">
        <v>12</v>
      </c>
      <c r="K9" s="294">
        <v>12</v>
      </c>
      <c r="L9" s="294">
        <v>12</v>
      </c>
      <c r="M9" s="294">
        <v>12</v>
      </c>
      <c r="N9" s="294">
        <v>12</v>
      </c>
      <c r="O9" s="294">
        <v>12</v>
      </c>
      <c r="P9" s="294">
        <v>12</v>
      </c>
      <c r="Q9" s="294">
        <v>12</v>
      </c>
      <c r="R9" s="294">
        <v>12</v>
      </c>
      <c r="S9" s="294">
        <v>12</v>
      </c>
      <c r="T9" s="294">
        <v>12</v>
      </c>
      <c r="U9" s="294">
        <v>12</v>
      </c>
      <c r="V9" s="294">
        <v>12</v>
      </c>
    </row>
    <row r="10" spans="1:22">
      <c r="A10" s="16" t="s">
        <v>106</v>
      </c>
      <c r="B10" s="295">
        <v>0</v>
      </c>
      <c r="C10" s="295">
        <f>90%/30</f>
        <v>3.0000000000000002E-2</v>
      </c>
      <c r="D10" s="295">
        <f>90%/30</f>
        <v>3.0000000000000002E-2</v>
      </c>
      <c r="E10" s="295">
        <f t="shared" ref="E10:V10" si="2">90%/30</f>
        <v>3.0000000000000002E-2</v>
      </c>
      <c r="F10" s="295">
        <f t="shared" si="2"/>
        <v>3.0000000000000002E-2</v>
      </c>
      <c r="G10" s="295">
        <f t="shared" si="2"/>
        <v>3.0000000000000002E-2</v>
      </c>
      <c r="H10" s="295">
        <f t="shared" si="2"/>
        <v>3.0000000000000002E-2</v>
      </c>
      <c r="I10" s="295">
        <f t="shared" si="2"/>
        <v>3.0000000000000002E-2</v>
      </c>
      <c r="J10" s="295">
        <f t="shared" si="2"/>
        <v>3.0000000000000002E-2</v>
      </c>
      <c r="K10" s="295">
        <f t="shared" si="2"/>
        <v>3.0000000000000002E-2</v>
      </c>
      <c r="L10" s="295">
        <f t="shared" si="2"/>
        <v>3.0000000000000002E-2</v>
      </c>
      <c r="M10" s="295">
        <f t="shared" si="2"/>
        <v>3.0000000000000002E-2</v>
      </c>
      <c r="N10" s="295">
        <f t="shared" si="2"/>
        <v>3.0000000000000002E-2</v>
      </c>
      <c r="O10" s="295">
        <f t="shared" si="2"/>
        <v>3.0000000000000002E-2</v>
      </c>
      <c r="P10" s="295">
        <f t="shared" si="2"/>
        <v>3.0000000000000002E-2</v>
      </c>
      <c r="Q10" s="295">
        <f t="shared" si="2"/>
        <v>3.0000000000000002E-2</v>
      </c>
      <c r="R10" s="295">
        <f t="shared" si="2"/>
        <v>3.0000000000000002E-2</v>
      </c>
      <c r="S10" s="295">
        <f t="shared" si="2"/>
        <v>3.0000000000000002E-2</v>
      </c>
      <c r="T10" s="295">
        <f t="shared" si="2"/>
        <v>3.0000000000000002E-2</v>
      </c>
      <c r="U10" s="295">
        <f t="shared" si="2"/>
        <v>3.0000000000000002E-2</v>
      </c>
      <c r="V10" s="295">
        <f t="shared" si="2"/>
        <v>3.0000000000000002E-2</v>
      </c>
    </row>
    <row r="11" spans="1:22">
      <c r="B11" s="16"/>
      <c r="C11" s="16"/>
      <c r="D11" s="16"/>
    </row>
    <row r="12" spans="1:22">
      <c r="A12" s="16" t="s">
        <v>107</v>
      </c>
      <c r="B12" s="120">
        <f>SUM('Summary Output'!$G$8,'Summary Output'!$G$9)*Allocation!$C$7+'Amortization of Power Contract'!$C$11</f>
        <v>188402.61714934916</v>
      </c>
      <c r="C12" s="19">
        <f>B14</f>
        <v>188402.61714934916</v>
      </c>
      <c r="D12" s="19">
        <f>C14</f>
        <v>182750.53863486869</v>
      </c>
      <c r="E12" s="19">
        <f t="shared" ref="E12:V12" si="3">D14</f>
        <v>177098.46012038822</v>
      </c>
      <c r="F12" s="19">
        <f t="shared" si="3"/>
        <v>171446.38160590775</v>
      </c>
      <c r="G12" s="19">
        <f t="shared" si="3"/>
        <v>165794.30309142728</v>
      </c>
      <c r="H12" s="19">
        <f t="shared" si="3"/>
        <v>160142.22457694681</v>
      </c>
      <c r="I12" s="19">
        <f t="shared" si="3"/>
        <v>154490.14606246635</v>
      </c>
      <c r="J12" s="19">
        <f t="shared" si="3"/>
        <v>148838.06754798588</v>
      </c>
      <c r="K12" s="19">
        <f t="shared" si="3"/>
        <v>143185.98903350541</v>
      </c>
      <c r="L12" s="19">
        <f t="shared" si="3"/>
        <v>137533.91051902494</v>
      </c>
      <c r="M12" s="19">
        <f t="shared" si="3"/>
        <v>131881.83200454447</v>
      </c>
      <c r="N12" s="19">
        <f t="shared" si="3"/>
        <v>126229.753490064</v>
      </c>
      <c r="O12" s="19">
        <f t="shared" si="3"/>
        <v>120577.67497558353</v>
      </c>
      <c r="P12" s="19">
        <f t="shared" si="3"/>
        <v>114925.59646110306</v>
      </c>
      <c r="Q12" s="19">
        <f t="shared" si="3"/>
        <v>109273.5179466226</v>
      </c>
      <c r="R12" s="19">
        <f t="shared" si="3"/>
        <v>103621.43943214213</v>
      </c>
      <c r="S12" s="19">
        <f t="shared" si="3"/>
        <v>97969.360917661659</v>
      </c>
      <c r="T12" s="19">
        <f t="shared" si="3"/>
        <v>92317.282403181191</v>
      </c>
      <c r="U12" s="19">
        <f t="shared" si="3"/>
        <v>86665.203888700722</v>
      </c>
      <c r="V12" s="19">
        <f t="shared" si="3"/>
        <v>81013.125374220253</v>
      </c>
    </row>
    <row r="13" spans="1:22">
      <c r="A13" s="16" t="s">
        <v>108</v>
      </c>
      <c r="B13" s="51">
        <f>$B$12*B10</f>
        <v>0</v>
      </c>
      <c r="C13" s="51">
        <f t="shared" ref="C13:V13" si="4">$B$12*C10</f>
        <v>5652.078514480475</v>
      </c>
      <c r="D13" s="51">
        <f t="shared" si="4"/>
        <v>5652.078514480475</v>
      </c>
      <c r="E13" s="51">
        <f t="shared" si="4"/>
        <v>5652.078514480475</v>
      </c>
      <c r="F13" s="51">
        <f t="shared" si="4"/>
        <v>5652.078514480475</v>
      </c>
      <c r="G13" s="51">
        <f t="shared" si="4"/>
        <v>5652.078514480475</v>
      </c>
      <c r="H13" s="51">
        <f t="shared" si="4"/>
        <v>5652.078514480475</v>
      </c>
      <c r="I13" s="51">
        <f t="shared" si="4"/>
        <v>5652.078514480475</v>
      </c>
      <c r="J13" s="51">
        <f t="shared" si="4"/>
        <v>5652.078514480475</v>
      </c>
      <c r="K13" s="51">
        <f t="shared" si="4"/>
        <v>5652.078514480475</v>
      </c>
      <c r="L13" s="51">
        <f t="shared" si="4"/>
        <v>5652.078514480475</v>
      </c>
      <c r="M13" s="51">
        <f t="shared" si="4"/>
        <v>5652.078514480475</v>
      </c>
      <c r="N13" s="51">
        <f t="shared" si="4"/>
        <v>5652.078514480475</v>
      </c>
      <c r="O13" s="51">
        <f t="shared" si="4"/>
        <v>5652.078514480475</v>
      </c>
      <c r="P13" s="51">
        <f t="shared" si="4"/>
        <v>5652.078514480475</v>
      </c>
      <c r="Q13" s="51">
        <f t="shared" si="4"/>
        <v>5652.078514480475</v>
      </c>
      <c r="R13" s="51">
        <f t="shared" si="4"/>
        <v>5652.078514480475</v>
      </c>
      <c r="S13" s="51">
        <f t="shared" si="4"/>
        <v>5652.078514480475</v>
      </c>
      <c r="T13" s="51">
        <f t="shared" si="4"/>
        <v>5652.078514480475</v>
      </c>
      <c r="U13" s="51">
        <f t="shared" si="4"/>
        <v>5652.078514480475</v>
      </c>
      <c r="V13" s="51">
        <f t="shared" si="4"/>
        <v>5652.078514480475</v>
      </c>
    </row>
    <row r="14" spans="1:22">
      <c r="A14" s="16" t="s">
        <v>109</v>
      </c>
      <c r="B14" s="19">
        <f>B12-B13</f>
        <v>188402.61714934916</v>
      </c>
      <c r="C14" s="19">
        <f>C12-C13</f>
        <v>182750.53863486869</v>
      </c>
      <c r="D14" s="19">
        <f>D12-D13</f>
        <v>177098.46012038822</v>
      </c>
      <c r="E14" s="19">
        <f t="shared" ref="E14:V14" si="5">E12-E13</f>
        <v>171446.38160590775</v>
      </c>
      <c r="F14" s="19">
        <f t="shared" si="5"/>
        <v>165794.30309142728</v>
      </c>
      <c r="G14" s="19">
        <f t="shared" si="5"/>
        <v>160142.22457694681</v>
      </c>
      <c r="H14" s="19">
        <f t="shared" si="5"/>
        <v>154490.14606246635</v>
      </c>
      <c r="I14" s="19">
        <f t="shared" si="5"/>
        <v>148838.06754798588</v>
      </c>
      <c r="J14" s="19">
        <f t="shared" si="5"/>
        <v>143185.98903350541</v>
      </c>
      <c r="K14" s="19">
        <f t="shared" si="5"/>
        <v>137533.91051902494</v>
      </c>
      <c r="L14" s="19">
        <f t="shared" si="5"/>
        <v>131881.83200454447</v>
      </c>
      <c r="M14" s="19">
        <f t="shared" si="5"/>
        <v>126229.753490064</v>
      </c>
      <c r="N14" s="19">
        <f t="shared" si="5"/>
        <v>120577.67497558353</v>
      </c>
      <c r="O14" s="19">
        <f t="shared" si="5"/>
        <v>114925.59646110306</v>
      </c>
      <c r="P14" s="19">
        <f t="shared" si="5"/>
        <v>109273.5179466226</v>
      </c>
      <c r="Q14" s="19">
        <f t="shared" si="5"/>
        <v>103621.43943214213</v>
      </c>
      <c r="R14" s="19">
        <f t="shared" si="5"/>
        <v>97969.360917661659</v>
      </c>
      <c r="S14" s="19">
        <f t="shared" si="5"/>
        <v>92317.282403181191</v>
      </c>
      <c r="T14" s="19">
        <f t="shared" si="5"/>
        <v>86665.203888700722</v>
      </c>
      <c r="U14" s="19">
        <f t="shared" si="5"/>
        <v>81013.125374220253</v>
      </c>
      <c r="V14" s="19">
        <f t="shared" si="5"/>
        <v>75361.046859739785</v>
      </c>
    </row>
    <row r="15" spans="1:22">
      <c r="B15" s="16"/>
      <c r="C15" s="16"/>
      <c r="D15" s="16"/>
    </row>
    <row r="16" spans="1:22">
      <c r="A16" s="39" t="s">
        <v>10</v>
      </c>
      <c r="B16" s="16"/>
      <c r="C16" s="16"/>
      <c r="D16" s="16"/>
    </row>
    <row r="17" spans="1:22">
      <c r="A17" s="21" t="s">
        <v>105</v>
      </c>
      <c r="B17" s="294">
        <v>0</v>
      </c>
      <c r="C17" s="294">
        <v>12</v>
      </c>
      <c r="D17" s="294">
        <v>12</v>
      </c>
      <c r="E17" s="294">
        <v>12</v>
      </c>
      <c r="F17" s="294">
        <v>12</v>
      </c>
      <c r="G17" s="294">
        <v>12</v>
      </c>
      <c r="H17" s="294">
        <v>12</v>
      </c>
      <c r="I17" s="294">
        <v>12</v>
      </c>
      <c r="J17" s="294">
        <v>12</v>
      </c>
      <c r="K17" s="294">
        <v>12</v>
      </c>
      <c r="L17" s="294">
        <v>12</v>
      </c>
      <c r="M17" s="294">
        <v>12</v>
      </c>
      <c r="N17" s="294">
        <v>12</v>
      </c>
      <c r="O17" s="294">
        <v>12</v>
      </c>
      <c r="P17" s="294">
        <v>12</v>
      </c>
      <c r="Q17" s="294">
        <v>12</v>
      </c>
      <c r="R17" s="294">
        <v>12</v>
      </c>
      <c r="S17" s="294">
        <v>12</v>
      </c>
      <c r="T17" s="294">
        <v>12</v>
      </c>
      <c r="U17" s="294">
        <v>12</v>
      </c>
      <c r="V17" s="294">
        <v>12</v>
      </c>
    </row>
    <row r="18" spans="1:22">
      <c r="A18" s="16" t="s">
        <v>106</v>
      </c>
      <c r="B18" s="295">
        <v>0</v>
      </c>
      <c r="C18" s="295">
        <f>90%/30</f>
        <v>3.0000000000000002E-2</v>
      </c>
      <c r="D18" s="295">
        <f>90%/30</f>
        <v>3.0000000000000002E-2</v>
      </c>
      <c r="E18" s="295">
        <f t="shared" ref="E18:V18" si="6">90%/30</f>
        <v>3.0000000000000002E-2</v>
      </c>
      <c r="F18" s="295">
        <f t="shared" si="6"/>
        <v>3.0000000000000002E-2</v>
      </c>
      <c r="G18" s="295">
        <f t="shared" si="6"/>
        <v>3.0000000000000002E-2</v>
      </c>
      <c r="H18" s="295">
        <f t="shared" si="6"/>
        <v>3.0000000000000002E-2</v>
      </c>
      <c r="I18" s="295">
        <f t="shared" si="6"/>
        <v>3.0000000000000002E-2</v>
      </c>
      <c r="J18" s="295">
        <f t="shared" si="6"/>
        <v>3.0000000000000002E-2</v>
      </c>
      <c r="K18" s="295">
        <f t="shared" si="6"/>
        <v>3.0000000000000002E-2</v>
      </c>
      <c r="L18" s="295">
        <f t="shared" si="6"/>
        <v>3.0000000000000002E-2</v>
      </c>
      <c r="M18" s="295">
        <f t="shared" si="6"/>
        <v>3.0000000000000002E-2</v>
      </c>
      <c r="N18" s="295">
        <f t="shared" si="6"/>
        <v>3.0000000000000002E-2</v>
      </c>
      <c r="O18" s="295">
        <f t="shared" si="6"/>
        <v>3.0000000000000002E-2</v>
      </c>
      <c r="P18" s="295">
        <f t="shared" si="6"/>
        <v>3.0000000000000002E-2</v>
      </c>
      <c r="Q18" s="295">
        <f t="shared" si="6"/>
        <v>3.0000000000000002E-2</v>
      </c>
      <c r="R18" s="295">
        <f t="shared" si="6"/>
        <v>3.0000000000000002E-2</v>
      </c>
      <c r="S18" s="295">
        <f t="shared" si="6"/>
        <v>3.0000000000000002E-2</v>
      </c>
      <c r="T18" s="295">
        <f t="shared" si="6"/>
        <v>3.0000000000000002E-2</v>
      </c>
      <c r="U18" s="295">
        <f t="shared" si="6"/>
        <v>3.0000000000000002E-2</v>
      </c>
      <c r="V18" s="295">
        <f t="shared" si="6"/>
        <v>3.0000000000000002E-2</v>
      </c>
    </row>
    <row r="19" spans="1:22">
      <c r="B19" s="16"/>
      <c r="C19" s="16"/>
      <c r="D19" s="16"/>
    </row>
    <row r="20" spans="1:22">
      <c r="A20" s="16" t="s">
        <v>107</v>
      </c>
      <c r="B20" s="120">
        <f>SUM('Summary Output'!$G$8,'Summary Output'!$G$9)*Allocation!$C$8+'Amortization of Power Contract'!$C$17</f>
        <v>223128.99812008941</v>
      </c>
      <c r="C20" s="19">
        <f>B22</f>
        <v>223128.99812008941</v>
      </c>
      <c r="D20" s="19">
        <f>C22</f>
        <v>216435.12817648673</v>
      </c>
      <c r="E20" s="19">
        <f t="shared" ref="E20:V20" si="7">D22</f>
        <v>209741.25823288405</v>
      </c>
      <c r="F20" s="19">
        <f t="shared" si="7"/>
        <v>203047.38828928137</v>
      </c>
      <c r="G20" s="19">
        <f t="shared" si="7"/>
        <v>196353.51834567869</v>
      </c>
      <c r="H20" s="19">
        <f t="shared" si="7"/>
        <v>189659.64840207601</v>
      </c>
      <c r="I20" s="19">
        <f t="shared" si="7"/>
        <v>182965.77845847333</v>
      </c>
      <c r="J20" s="19">
        <f t="shared" si="7"/>
        <v>176271.90851487065</v>
      </c>
      <c r="K20" s="19">
        <f t="shared" si="7"/>
        <v>169578.03857126797</v>
      </c>
      <c r="L20" s="19">
        <f t="shared" si="7"/>
        <v>162884.16862766529</v>
      </c>
      <c r="M20" s="19">
        <f t="shared" si="7"/>
        <v>156190.29868406261</v>
      </c>
      <c r="N20" s="19">
        <f t="shared" si="7"/>
        <v>149496.42874045993</v>
      </c>
      <c r="O20" s="19">
        <f t="shared" si="7"/>
        <v>142802.55879685725</v>
      </c>
      <c r="P20" s="19">
        <f t="shared" si="7"/>
        <v>136108.68885325457</v>
      </c>
      <c r="Q20" s="19">
        <f t="shared" si="7"/>
        <v>129414.81890965189</v>
      </c>
      <c r="R20" s="19">
        <f t="shared" si="7"/>
        <v>122720.94896604921</v>
      </c>
      <c r="S20" s="19">
        <f t="shared" si="7"/>
        <v>116027.07902244653</v>
      </c>
      <c r="T20" s="19">
        <f t="shared" si="7"/>
        <v>109333.20907884385</v>
      </c>
      <c r="U20" s="19">
        <f t="shared" si="7"/>
        <v>102639.33913524117</v>
      </c>
      <c r="V20" s="19">
        <f t="shared" si="7"/>
        <v>95945.469191638491</v>
      </c>
    </row>
    <row r="21" spans="1:22">
      <c r="A21" s="16" t="s">
        <v>108</v>
      </c>
      <c r="B21" s="51">
        <f t="shared" ref="B21:V21" si="8">$B$20*B18</f>
        <v>0</v>
      </c>
      <c r="C21" s="51">
        <f t="shared" si="8"/>
        <v>6693.8699436026827</v>
      </c>
      <c r="D21" s="51">
        <f t="shared" si="8"/>
        <v>6693.8699436026827</v>
      </c>
      <c r="E21" s="51">
        <f t="shared" si="8"/>
        <v>6693.8699436026827</v>
      </c>
      <c r="F21" s="51">
        <f t="shared" si="8"/>
        <v>6693.8699436026827</v>
      </c>
      <c r="G21" s="51">
        <f t="shared" si="8"/>
        <v>6693.8699436026827</v>
      </c>
      <c r="H21" s="51">
        <f t="shared" si="8"/>
        <v>6693.8699436026827</v>
      </c>
      <c r="I21" s="51">
        <f t="shared" si="8"/>
        <v>6693.8699436026827</v>
      </c>
      <c r="J21" s="51">
        <f t="shared" si="8"/>
        <v>6693.8699436026827</v>
      </c>
      <c r="K21" s="51">
        <f t="shared" si="8"/>
        <v>6693.8699436026827</v>
      </c>
      <c r="L21" s="51">
        <f t="shared" si="8"/>
        <v>6693.8699436026827</v>
      </c>
      <c r="M21" s="51">
        <f t="shared" si="8"/>
        <v>6693.8699436026827</v>
      </c>
      <c r="N21" s="51">
        <f t="shared" si="8"/>
        <v>6693.8699436026827</v>
      </c>
      <c r="O21" s="51">
        <f t="shared" si="8"/>
        <v>6693.8699436026827</v>
      </c>
      <c r="P21" s="51">
        <f t="shared" si="8"/>
        <v>6693.8699436026827</v>
      </c>
      <c r="Q21" s="51">
        <f t="shared" si="8"/>
        <v>6693.8699436026827</v>
      </c>
      <c r="R21" s="51">
        <f t="shared" si="8"/>
        <v>6693.8699436026827</v>
      </c>
      <c r="S21" s="51">
        <f t="shared" si="8"/>
        <v>6693.8699436026827</v>
      </c>
      <c r="T21" s="51">
        <f t="shared" si="8"/>
        <v>6693.8699436026827</v>
      </c>
      <c r="U21" s="51">
        <f t="shared" si="8"/>
        <v>6693.8699436026827</v>
      </c>
      <c r="V21" s="51">
        <f t="shared" si="8"/>
        <v>6693.8699436026827</v>
      </c>
    </row>
    <row r="22" spans="1:22">
      <c r="A22" s="16" t="s">
        <v>109</v>
      </c>
      <c r="B22" s="19">
        <f>B20-B21</f>
        <v>223128.99812008941</v>
      </c>
      <c r="C22" s="19">
        <f>C20-C21</f>
        <v>216435.12817648673</v>
      </c>
      <c r="D22" s="19">
        <f>D20-D21</f>
        <v>209741.25823288405</v>
      </c>
      <c r="E22" s="19">
        <f t="shared" ref="E22:V22" si="9">E20-E21</f>
        <v>203047.38828928137</v>
      </c>
      <c r="F22" s="19">
        <f t="shared" si="9"/>
        <v>196353.51834567869</v>
      </c>
      <c r="G22" s="19">
        <f t="shared" si="9"/>
        <v>189659.64840207601</v>
      </c>
      <c r="H22" s="19">
        <f t="shared" si="9"/>
        <v>182965.77845847333</v>
      </c>
      <c r="I22" s="19">
        <f t="shared" si="9"/>
        <v>176271.90851487065</v>
      </c>
      <c r="J22" s="19">
        <f t="shared" si="9"/>
        <v>169578.03857126797</v>
      </c>
      <c r="K22" s="19">
        <f t="shared" si="9"/>
        <v>162884.16862766529</v>
      </c>
      <c r="L22" s="19">
        <f t="shared" si="9"/>
        <v>156190.29868406261</v>
      </c>
      <c r="M22" s="19">
        <f t="shared" si="9"/>
        <v>149496.42874045993</v>
      </c>
      <c r="N22" s="19">
        <f t="shared" si="9"/>
        <v>142802.55879685725</v>
      </c>
      <c r="O22" s="19">
        <f t="shared" si="9"/>
        <v>136108.68885325457</v>
      </c>
      <c r="P22" s="19">
        <f t="shared" si="9"/>
        <v>129414.81890965189</v>
      </c>
      <c r="Q22" s="19">
        <f t="shared" si="9"/>
        <v>122720.94896604921</v>
      </c>
      <c r="R22" s="19">
        <f t="shared" si="9"/>
        <v>116027.07902244653</v>
      </c>
      <c r="S22" s="19">
        <f t="shared" si="9"/>
        <v>109333.20907884385</v>
      </c>
      <c r="T22" s="19">
        <f t="shared" si="9"/>
        <v>102639.33913524117</v>
      </c>
      <c r="U22" s="19">
        <f t="shared" si="9"/>
        <v>95945.469191638491</v>
      </c>
      <c r="V22" s="19">
        <f t="shared" si="9"/>
        <v>89251.599248035811</v>
      </c>
    </row>
    <row r="23" spans="1:22">
      <c r="B23" s="16"/>
      <c r="C23" s="16"/>
      <c r="D23" s="16"/>
    </row>
    <row r="24" spans="1:22">
      <c r="A24" s="39" t="s">
        <v>11</v>
      </c>
      <c r="B24" s="16"/>
      <c r="C24" s="16"/>
      <c r="D24" s="16"/>
    </row>
    <row r="25" spans="1:22">
      <c r="A25" s="21" t="s">
        <v>105</v>
      </c>
      <c r="B25" s="294">
        <v>0</v>
      </c>
      <c r="C25" s="294">
        <v>12</v>
      </c>
      <c r="D25" s="294">
        <v>12</v>
      </c>
      <c r="E25" s="294">
        <v>12</v>
      </c>
      <c r="F25" s="294">
        <v>12</v>
      </c>
      <c r="G25" s="294">
        <v>12</v>
      </c>
      <c r="H25" s="294">
        <v>12</v>
      </c>
      <c r="I25" s="294">
        <v>12</v>
      </c>
      <c r="J25" s="294">
        <v>12</v>
      </c>
      <c r="K25" s="294">
        <v>12</v>
      </c>
      <c r="L25" s="294">
        <v>12</v>
      </c>
      <c r="M25" s="294">
        <v>12</v>
      </c>
      <c r="N25" s="294">
        <v>12</v>
      </c>
      <c r="O25" s="294">
        <v>12</v>
      </c>
      <c r="P25" s="294">
        <v>12</v>
      </c>
      <c r="Q25" s="294">
        <v>12</v>
      </c>
      <c r="R25" s="294">
        <v>12</v>
      </c>
      <c r="S25" s="294">
        <v>12</v>
      </c>
      <c r="T25" s="294">
        <v>12</v>
      </c>
      <c r="U25" s="294">
        <v>12</v>
      </c>
      <c r="V25" s="294">
        <v>12</v>
      </c>
    </row>
    <row r="26" spans="1:22">
      <c r="A26" s="16" t="s">
        <v>106</v>
      </c>
      <c r="B26" s="295">
        <v>0</v>
      </c>
      <c r="C26" s="295">
        <f>90%/30</f>
        <v>3.0000000000000002E-2</v>
      </c>
      <c r="D26" s="295">
        <f>90%/30</f>
        <v>3.0000000000000002E-2</v>
      </c>
      <c r="E26" s="295">
        <f t="shared" ref="E26:V26" si="10">90%/30</f>
        <v>3.0000000000000002E-2</v>
      </c>
      <c r="F26" s="295">
        <f t="shared" si="10"/>
        <v>3.0000000000000002E-2</v>
      </c>
      <c r="G26" s="295">
        <f t="shared" si="10"/>
        <v>3.0000000000000002E-2</v>
      </c>
      <c r="H26" s="295">
        <f t="shared" si="10"/>
        <v>3.0000000000000002E-2</v>
      </c>
      <c r="I26" s="295">
        <f t="shared" si="10"/>
        <v>3.0000000000000002E-2</v>
      </c>
      <c r="J26" s="295">
        <f t="shared" si="10"/>
        <v>3.0000000000000002E-2</v>
      </c>
      <c r="K26" s="295">
        <f t="shared" si="10"/>
        <v>3.0000000000000002E-2</v>
      </c>
      <c r="L26" s="295">
        <f t="shared" si="10"/>
        <v>3.0000000000000002E-2</v>
      </c>
      <c r="M26" s="295">
        <f t="shared" si="10"/>
        <v>3.0000000000000002E-2</v>
      </c>
      <c r="N26" s="295">
        <f t="shared" si="10"/>
        <v>3.0000000000000002E-2</v>
      </c>
      <c r="O26" s="295">
        <f t="shared" si="10"/>
        <v>3.0000000000000002E-2</v>
      </c>
      <c r="P26" s="295">
        <f t="shared" si="10"/>
        <v>3.0000000000000002E-2</v>
      </c>
      <c r="Q26" s="295">
        <f t="shared" si="10"/>
        <v>3.0000000000000002E-2</v>
      </c>
      <c r="R26" s="295">
        <f t="shared" si="10"/>
        <v>3.0000000000000002E-2</v>
      </c>
      <c r="S26" s="295">
        <f t="shared" si="10"/>
        <v>3.0000000000000002E-2</v>
      </c>
      <c r="T26" s="295">
        <f t="shared" si="10"/>
        <v>3.0000000000000002E-2</v>
      </c>
      <c r="U26" s="295">
        <f t="shared" si="10"/>
        <v>3.0000000000000002E-2</v>
      </c>
      <c r="V26" s="295">
        <f t="shared" si="10"/>
        <v>3.0000000000000002E-2</v>
      </c>
    </row>
    <row r="27" spans="1:22">
      <c r="B27" s="16"/>
      <c r="C27" s="16"/>
      <c r="D27" s="16"/>
    </row>
    <row r="28" spans="1:22">
      <c r="A28" s="16" t="s">
        <v>107</v>
      </c>
      <c r="B28" s="120">
        <f>SUM('Summary Output'!$G$8,'Summary Output'!$G$9)*Allocation!$C$9+'Amortization of Power Contract'!$C$23</f>
        <v>210479.80449373255</v>
      </c>
      <c r="C28" s="19">
        <f>B30</f>
        <v>210479.80449373255</v>
      </c>
      <c r="D28" s="19">
        <f>C30</f>
        <v>204165.41035892058</v>
      </c>
      <c r="E28" s="19">
        <f t="shared" ref="E28:V28" si="11">D30</f>
        <v>197851.01622410861</v>
      </c>
      <c r="F28" s="19">
        <f t="shared" si="11"/>
        <v>191536.62208929664</v>
      </c>
      <c r="G28" s="19">
        <f t="shared" si="11"/>
        <v>185222.22795448467</v>
      </c>
      <c r="H28" s="19">
        <f t="shared" si="11"/>
        <v>178907.8338196727</v>
      </c>
      <c r="I28" s="19">
        <f t="shared" si="11"/>
        <v>172593.43968486073</v>
      </c>
      <c r="J28" s="19">
        <f t="shared" si="11"/>
        <v>166279.04555004876</v>
      </c>
      <c r="K28" s="19">
        <f t="shared" si="11"/>
        <v>159964.65141523679</v>
      </c>
      <c r="L28" s="19">
        <f t="shared" si="11"/>
        <v>153650.25728042482</v>
      </c>
      <c r="M28" s="19">
        <f t="shared" si="11"/>
        <v>147335.86314561285</v>
      </c>
      <c r="N28" s="19">
        <f t="shared" si="11"/>
        <v>141021.46901080088</v>
      </c>
      <c r="O28" s="19">
        <f t="shared" si="11"/>
        <v>134707.07487598891</v>
      </c>
      <c r="P28" s="19">
        <f t="shared" si="11"/>
        <v>128392.68074117694</v>
      </c>
      <c r="Q28" s="19">
        <f t="shared" si="11"/>
        <v>122078.28660636497</v>
      </c>
      <c r="R28" s="19">
        <f t="shared" si="11"/>
        <v>115763.892471553</v>
      </c>
      <c r="S28" s="19">
        <f t="shared" si="11"/>
        <v>109449.49833674103</v>
      </c>
      <c r="T28" s="19">
        <f t="shared" si="11"/>
        <v>103135.10420192906</v>
      </c>
      <c r="U28" s="19">
        <f t="shared" si="11"/>
        <v>96820.710067117092</v>
      </c>
      <c r="V28" s="19">
        <f t="shared" si="11"/>
        <v>90506.315932305122</v>
      </c>
    </row>
    <row r="29" spans="1:22">
      <c r="A29" s="16" t="s">
        <v>108</v>
      </c>
      <c r="B29" s="51">
        <f>$B$28*B26</f>
        <v>0</v>
      </c>
      <c r="C29" s="51">
        <f t="shared" ref="C29:V29" si="12">$B$28*C26</f>
        <v>6314.394134811977</v>
      </c>
      <c r="D29" s="51">
        <f t="shared" si="12"/>
        <v>6314.394134811977</v>
      </c>
      <c r="E29" s="51">
        <f t="shared" si="12"/>
        <v>6314.394134811977</v>
      </c>
      <c r="F29" s="51">
        <f t="shared" si="12"/>
        <v>6314.394134811977</v>
      </c>
      <c r="G29" s="51">
        <f t="shared" si="12"/>
        <v>6314.394134811977</v>
      </c>
      <c r="H29" s="51">
        <f t="shared" si="12"/>
        <v>6314.394134811977</v>
      </c>
      <c r="I29" s="51">
        <f t="shared" si="12"/>
        <v>6314.394134811977</v>
      </c>
      <c r="J29" s="51">
        <f t="shared" si="12"/>
        <v>6314.394134811977</v>
      </c>
      <c r="K29" s="51">
        <f t="shared" si="12"/>
        <v>6314.394134811977</v>
      </c>
      <c r="L29" s="51">
        <f t="shared" si="12"/>
        <v>6314.394134811977</v>
      </c>
      <c r="M29" s="51">
        <f t="shared" si="12"/>
        <v>6314.394134811977</v>
      </c>
      <c r="N29" s="51">
        <f t="shared" si="12"/>
        <v>6314.394134811977</v>
      </c>
      <c r="O29" s="51">
        <f t="shared" si="12"/>
        <v>6314.394134811977</v>
      </c>
      <c r="P29" s="51">
        <f t="shared" si="12"/>
        <v>6314.394134811977</v>
      </c>
      <c r="Q29" s="51">
        <f t="shared" si="12"/>
        <v>6314.394134811977</v>
      </c>
      <c r="R29" s="51">
        <f t="shared" si="12"/>
        <v>6314.394134811977</v>
      </c>
      <c r="S29" s="51">
        <f t="shared" si="12"/>
        <v>6314.394134811977</v>
      </c>
      <c r="T29" s="51">
        <f t="shared" si="12"/>
        <v>6314.394134811977</v>
      </c>
      <c r="U29" s="51">
        <f t="shared" si="12"/>
        <v>6314.394134811977</v>
      </c>
      <c r="V29" s="51">
        <f t="shared" si="12"/>
        <v>6314.394134811977</v>
      </c>
    </row>
    <row r="30" spans="1:22">
      <c r="A30" s="16" t="s">
        <v>109</v>
      </c>
      <c r="B30" s="19">
        <f>B28-B29</f>
        <v>210479.80449373255</v>
      </c>
      <c r="C30" s="19">
        <f>C28-C29</f>
        <v>204165.41035892058</v>
      </c>
      <c r="D30" s="19">
        <f>D28-D29</f>
        <v>197851.01622410861</v>
      </c>
      <c r="E30" s="19">
        <f t="shared" ref="E30:V30" si="13">E28-E29</f>
        <v>191536.62208929664</v>
      </c>
      <c r="F30" s="19">
        <f t="shared" si="13"/>
        <v>185222.22795448467</v>
      </c>
      <c r="G30" s="19">
        <f t="shared" si="13"/>
        <v>178907.8338196727</v>
      </c>
      <c r="H30" s="19">
        <f t="shared" si="13"/>
        <v>172593.43968486073</v>
      </c>
      <c r="I30" s="19">
        <f t="shared" si="13"/>
        <v>166279.04555004876</v>
      </c>
      <c r="J30" s="19">
        <f t="shared" si="13"/>
        <v>159964.65141523679</v>
      </c>
      <c r="K30" s="19">
        <f t="shared" si="13"/>
        <v>153650.25728042482</v>
      </c>
      <c r="L30" s="19">
        <f t="shared" si="13"/>
        <v>147335.86314561285</v>
      </c>
      <c r="M30" s="19">
        <f t="shared" si="13"/>
        <v>141021.46901080088</v>
      </c>
      <c r="N30" s="19">
        <f t="shared" si="13"/>
        <v>134707.07487598891</v>
      </c>
      <c r="O30" s="19">
        <f t="shared" si="13"/>
        <v>128392.68074117694</v>
      </c>
      <c r="P30" s="19">
        <f t="shared" si="13"/>
        <v>122078.28660636497</v>
      </c>
      <c r="Q30" s="19">
        <f t="shared" si="13"/>
        <v>115763.892471553</v>
      </c>
      <c r="R30" s="19">
        <f t="shared" si="13"/>
        <v>109449.49833674103</v>
      </c>
      <c r="S30" s="19">
        <f t="shared" si="13"/>
        <v>103135.10420192906</v>
      </c>
      <c r="T30" s="19">
        <f t="shared" si="13"/>
        <v>96820.710067117092</v>
      </c>
      <c r="U30" s="19">
        <f t="shared" si="13"/>
        <v>90506.315932305122</v>
      </c>
      <c r="V30" s="19">
        <f t="shared" si="13"/>
        <v>84191.921797493153</v>
      </c>
    </row>
    <row r="31" spans="1:22">
      <c r="B31" s="16"/>
      <c r="C31" s="16"/>
      <c r="D31" s="16"/>
    </row>
    <row r="32" spans="1:22">
      <c r="A32" s="39" t="s">
        <v>103</v>
      </c>
      <c r="B32" s="16"/>
      <c r="C32" s="16"/>
      <c r="D32" s="16"/>
    </row>
    <row r="33" spans="1:26">
      <c r="A33" s="21" t="s">
        <v>105</v>
      </c>
      <c r="B33" s="294">
        <v>0</v>
      </c>
      <c r="C33" s="294">
        <v>12</v>
      </c>
      <c r="D33" s="294">
        <v>12</v>
      </c>
      <c r="E33" s="294">
        <v>12</v>
      </c>
      <c r="F33" s="294">
        <v>12</v>
      </c>
      <c r="G33" s="294">
        <v>12</v>
      </c>
      <c r="H33" s="294">
        <v>12</v>
      </c>
      <c r="I33" s="294">
        <v>12</v>
      </c>
      <c r="J33" s="294">
        <v>12</v>
      </c>
      <c r="K33" s="294">
        <v>12</v>
      </c>
      <c r="L33" s="294">
        <v>12</v>
      </c>
      <c r="M33" s="294">
        <v>12</v>
      </c>
      <c r="N33" s="294">
        <v>12</v>
      </c>
      <c r="O33" s="294">
        <v>12</v>
      </c>
      <c r="P33" s="294">
        <v>12</v>
      </c>
      <c r="Q33" s="294">
        <v>12</v>
      </c>
      <c r="R33" s="294">
        <v>12</v>
      </c>
      <c r="S33" s="294">
        <v>12</v>
      </c>
      <c r="T33" s="294">
        <v>12</v>
      </c>
      <c r="U33" s="294">
        <v>12</v>
      </c>
      <c r="V33" s="294">
        <v>12</v>
      </c>
    </row>
    <row r="34" spans="1:26">
      <c r="A34" s="16" t="s">
        <v>106</v>
      </c>
      <c r="B34" s="295">
        <v>0</v>
      </c>
      <c r="C34" s="295">
        <f>90%/30</f>
        <v>3.0000000000000002E-2</v>
      </c>
      <c r="D34" s="295">
        <f>90%/30</f>
        <v>3.0000000000000002E-2</v>
      </c>
      <c r="E34" s="295">
        <f t="shared" ref="E34:V34" si="14">90%/30</f>
        <v>3.0000000000000002E-2</v>
      </c>
      <c r="F34" s="295">
        <f t="shared" si="14"/>
        <v>3.0000000000000002E-2</v>
      </c>
      <c r="G34" s="295">
        <f t="shared" si="14"/>
        <v>3.0000000000000002E-2</v>
      </c>
      <c r="H34" s="295">
        <f t="shared" si="14"/>
        <v>3.0000000000000002E-2</v>
      </c>
      <c r="I34" s="295">
        <f t="shared" si="14"/>
        <v>3.0000000000000002E-2</v>
      </c>
      <c r="J34" s="295">
        <f t="shared" si="14"/>
        <v>3.0000000000000002E-2</v>
      </c>
      <c r="K34" s="295">
        <f t="shared" si="14"/>
        <v>3.0000000000000002E-2</v>
      </c>
      <c r="L34" s="295">
        <f t="shared" si="14"/>
        <v>3.0000000000000002E-2</v>
      </c>
      <c r="M34" s="295">
        <f t="shared" si="14"/>
        <v>3.0000000000000002E-2</v>
      </c>
      <c r="N34" s="295">
        <f t="shared" si="14"/>
        <v>3.0000000000000002E-2</v>
      </c>
      <c r="O34" s="295">
        <f t="shared" si="14"/>
        <v>3.0000000000000002E-2</v>
      </c>
      <c r="P34" s="295">
        <f t="shared" si="14"/>
        <v>3.0000000000000002E-2</v>
      </c>
      <c r="Q34" s="295">
        <f t="shared" si="14"/>
        <v>3.0000000000000002E-2</v>
      </c>
      <c r="R34" s="295">
        <f t="shared" si="14"/>
        <v>3.0000000000000002E-2</v>
      </c>
      <c r="S34" s="295">
        <f t="shared" si="14"/>
        <v>3.0000000000000002E-2</v>
      </c>
      <c r="T34" s="295">
        <f t="shared" si="14"/>
        <v>3.0000000000000002E-2</v>
      </c>
      <c r="U34" s="295">
        <f t="shared" si="14"/>
        <v>3.0000000000000002E-2</v>
      </c>
      <c r="V34" s="295">
        <f t="shared" si="14"/>
        <v>3.0000000000000002E-2</v>
      </c>
    </row>
    <row r="35" spans="1:26">
      <c r="B35" s="16"/>
      <c r="C35" s="16"/>
      <c r="D35" s="16"/>
    </row>
    <row r="36" spans="1:26">
      <c r="A36" s="16" t="s">
        <v>107</v>
      </c>
      <c r="B36" s="120">
        <f>SUM('Summary Output'!$G$8,'Summary Output'!$G$9)*Allocation!$C$12+'Amortization of Power Contract'!$C$29</f>
        <v>251129.19185936253</v>
      </c>
      <c r="C36" s="19">
        <f>B38</f>
        <v>251129.19185936253</v>
      </c>
      <c r="D36" s="19">
        <f>C38</f>
        <v>243595.31610358166</v>
      </c>
      <c r="E36" s="19">
        <f t="shared" ref="E36:V36" si="15">D38</f>
        <v>236061.44034780079</v>
      </c>
      <c r="F36" s="19">
        <f t="shared" si="15"/>
        <v>228527.56459201992</v>
      </c>
      <c r="G36" s="19">
        <f t="shared" si="15"/>
        <v>220993.68883623905</v>
      </c>
      <c r="H36" s="19">
        <f t="shared" si="15"/>
        <v>213459.81308045817</v>
      </c>
      <c r="I36" s="19">
        <f t="shared" si="15"/>
        <v>205925.9373246773</v>
      </c>
      <c r="J36" s="19">
        <f t="shared" si="15"/>
        <v>198392.06156889643</v>
      </c>
      <c r="K36" s="19">
        <f t="shared" si="15"/>
        <v>190858.18581311556</v>
      </c>
      <c r="L36" s="19">
        <f t="shared" si="15"/>
        <v>183324.31005733469</v>
      </c>
      <c r="M36" s="19">
        <f t="shared" si="15"/>
        <v>175790.43430155382</v>
      </c>
      <c r="N36" s="19">
        <f t="shared" si="15"/>
        <v>168256.55854577295</v>
      </c>
      <c r="O36" s="19">
        <f t="shared" si="15"/>
        <v>160722.68278999208</v>
      </c>
      <c r="P36" s="19">
        <f t="shared" si="15"/>
        <v>153188.8070342112</v>
      </c>
      <c r="Q36" s="19">
        <f t="shared" si="15"/>
        <v>145654.93127843033</v>
      </c>
      <c r="R36" s="19">
        <f t="shared" si="15"/>
        <v>138121.05552264946</v>
      </c>
      <c r="S36" s="19">
        <f t="shared" si="15"/>
        <v>130587.17976686859</v>
      </c>
      <c r="T36" s="19">
        <f t="shared" si="15"/>
        <v>123053.30401108772</v>
      </c>
      <c r="U36" s="19">
        <f t="shared" si="15"/>
        <v>115519.42825530685</v>
      </c>
      <c r="V36" s="19">
        <f t="shared" si="15"/>
        <v>107985.55249952598</v>
      </c>
    </row>
    <row r="37" spans="1:26">
      <c r="A37" s="16" t="s">
        <v>108</v>
      </c>
      <c r="B37" s="51">
        <f>$B$36*B34</f>
        <v>0</v>
      </c>
      <c r="C37" s="51">
        <f t="shared" ref="C37:V37" si="16">$B$36*C34</f>
        <v>7533.8757557808767</v>
      </c>
      <c r="D37" s="51">
        <f t="shared" si="16"/>
        <v>7533.8757557808767</v>
      </c>
      <c r="E37" s="51">
        <f t="shared" si="16"/>
        <v>7533.8757557808767</v>
      </c>
      <c r="F37" s="51">
        <f t="shared" si="16"/>
        <v>7533.8757557808767</v>
      </c>
      <c r="G37" s="51">
        <f t="shared" si="16"/>
        <v>7533.8757557808767</v>
      </c>
      <c r="H37" s="51">
        <f t="shared" si="16"/>
        <v>7533.8757557808767</v>
      </c>
      <c r="I37" s="51">
        <f t="shared" si="16"/>
        <v>7533.8757557808767</v>
      </c>
      <c r="J37" s="51">
        <f t="shared" si="16"/>
        <v>7533.8757557808767</v>
      </c>
      <c r="K37" s="51">
        <f t="shared" si="16"/>
        <v>7533.8757557808767</v>
      </c>
      <c r="L37" s="51">
        <f t="shared" si="16"/>
        <v>7533.8757557808767</v>
      </c>
      <c r="M37" s="51">
        <f t="shared" si="16"/>
        <v>7533.8757557808767</v>
      </c>
      <c r="N37" s="51">
        <f t="shared" si="16"/>
        <v>7533.8757557808767</v>
      </c>
      <c r="O37" s="51">
        <f t="shared" si="16"/>
        <v>7533.8757557808767</v>
      </c>
      <c r="P37" s="51">
        <f t="shared" si="16"/>
        <v>7533.8757557808767</v>
      </c>
      <c r="Q37" s="51">
        <f t="shared" si="16"/>
        <v>7533.8757557808767</v>
      </c>
      <c r="R37" s="51">
        <f t="shared" si="16"/>
        <v>7533.8757557808767</v>
      </c>
      <c r="S37" s="51">
        <f t="shared" si="16"/>
        <v>7533.8757557808767</v>
      </c>
      <c r="T37" s="51">
        <f t="shared" si="16"/>
        <v>7533.8757557808767</v>
      </c>
      <c r="U37" s="51">
        <f t="shared" si="16"/>
        <v>7533.8757557808767</v>
      </c>
      <c r="V37" s="51">
        <f t="shared" si="16"/>
        <v>7533.8757557808767</v>
      </c>
    </row>
    <row r="38" spans="1:26">
      <c r="A38" s="16" t="s">
        <v>109</v>
      </c>
      <c r="B38" s="19">
        <f>B36-B37</f>
        <v>251129.19185936253</v>
      </c>
      <c r="C38" s="19">
        <f>C36-C37</f>
        <v>243595.31610358166</v>
      </c>
      <c r="D38" s="19">
        <f>D36-D37</f>
        <v>236061.44034780079</v>
      </c>
      <c r="E38" s="19">
        <f t="shared" ref="E38:V38" si="17">E36-E37</f>
        <v>228527.56459201992</v>
      </c>
      <c r="F38" s="19">
        <f t="shared" si="17"/>
        <v>220993.68883623905</v>
      </c>
      <c r="G38" s="19">
        <f t="shared" si="17"/>
        <v>213459.81308045817</v>
      </c>
      <c r="H38" s="19">
        <f t="shared" si="17"/>
        <v>205925.9373246773</v>
      </c>
      <c r="I38" s="19">
        <f t="shared" si="17"/>
        <v>198392.06156889643</v>
      </c>
      <c r="J38" s="19">
        <f t="shared" si="17"/>
        <v>190858.18581311556</v>
      </c>
      <c r="K38" s="19">
        <f t="shared" si="17"/>
        <v>183324.31005733469</v>
      </c>
      <c r="L38" s="19">
        <f t="shared" si="17"/>
        <v>175790.43430155382</v>
      </c>
      <c r="M38" s="19">
        <f t="shared" si="17"/>
        <v>168256.55854577295</v>
      </c>
      <c r="N38" s="19">
        <f t="shared" si="17"/>
        <v>160722.68278999208</v>
      </c>
      <c r="O38" s="19">
        <f t="shared" si="17"/>
        <v>153188.8070342112</v>
      </c>
      <c r="P38" s="19">
        <f t="shared" si="17"/>
        <v>145654.93127843033</v>
      </c>
      <c r="Q38" s="19">
        <f t="shared" si="17"/>
        <v>138121.05552264946</v>
      </c>
      <c r="R38" s="19">
        <f t="shared" si="17"/>
        <v>130587.17976686859</v>
      </c>
      <c r="S38" s="19">
        <f t="shared" si="17"/>
        <v>123053.30401108772</v>
      </c>
      <c r="T38" s="19">
        <f t="shared" si="17"/>
        <v>115519.42825530685</v>
      </c>
      <c r="U38" s="19">
        <f t="shared" si="17"/>
        <v>107985.55249952598</v>
      </c>
      <c r="V38" s="19">
        <f t="shared" si="17"/>
        <v>100451.67674374511</v>
      </c>
    </row>
    <row r="39" spans="1:26">
      <c r="B39" s="16"/>
      <c r="C39" s="16"/>
      <c r="D39" s="16"/>
    </row>
    <row r="40" spans="1:26">
      <c r="A40" s="39" t="s">
        <v>12</v>
      </c>
      <c r="B40" s="16"/>
      <c r="C40" s="16"/>
      <c r="D40" s="16"/>
    </row>
    <row r="41" spans="1:26">
      <c r="A41" s="21" t="s">
        <v>105</v>
      </c>
      <c r="B41" s="294">
        <v>0</v>
      </c>
      <c r="C41" s="294">
        <v>12</v>
      </c>
      <c r="D41" s="294">
        <v>12</v>
      </c>
      <c r="E41" s="294">
        <v>12</v>
      </c>
      <c r="F41" s="294">
        <v>12</v>
      </c>
      <c r="G41" s="294">
        <v>12</v>
      </c>
      <c r="H41" s="294">
        <v>12</v>
      </c>
      <c r="I41" s="294">
        <v>12</v>
      </c>
      <c r="J41" s="294">
        <v>12</v>
      </c>
      <c r="K41" s="294">
        <v>12</v>
      </c>
      <c r="L41" s="294">
        <v>12</v>
      </c>
      <c r="M41" s="294">
        <v>12</v>
      </c>
      <c r="N41" s="294">
        <v>12</v>
      </c>
      <c r="O41" s="294">
        <v>12</v>
      </c>
      <c r="P41" s="294">
        <v>12</v>
      </c>
      <c r="Q41" s="294">
        <v>12</v>
      </c>
      <c r="R41" s="294">
        <v>12</v>
      </c>
      <c r="S41" s="294">
        <v>12</v>
      </c>
      <c r="T41" s="294">
        <v>12</v>
      </c>
      <c r="U41" s="294">
        <v>12</v>
      </c>
      <c r="V41" s="294">
        <v>12</v>
      </c>
    </row>
    <row r="42" spans="1:26">
      <c r="A42" s="16" t="s">
        <v>106</v>
      </c>
      <c r="B42" s="295">
        <v>0</v>
      </c>
      <c r="C42" s="295">
        <f>90%/30</f>
        <v>3.0000000000000002E-2</v>
      </c>
      <c r="D42" s="295">
        <f>90%/30</f>
        <v>3.0000000000000002E-2</v>
      </c>
      <c r="E42" s="295">
        <f t="shared" ref="E42:V42" si="18">90%/30</f>
        <v>3.0000000000000002E-2</v>
      </c>
      <c r="F42" s="295">
        <f t="shared" si="18"/>
        <v>3.0000000000000002E-2</v>
      </c>
      <c r="G42" s="295">
        <f t="shared" si="18"/>
        <v>3.0000000000000002E-2</v>
      </c>
      <c r="H42" s="295">
        <f t="shared" si="18"/>
        <v>3.0000000000000002E-2</v>
      </c>
      <c r="I42" s="295">
        <f t="shared" si="18"/>
        <v>3.0000000000000002E-2</v>
      </c>
      <c r="J42" s="295">
        <f t="shared" si="18"/>
        <v>3.0000000000000002E-2</v>
      </c>
      <c r="K42" s="295">
        <f t="shared" si="18"/>
        <v>3.0000000000000002E-2</v>
      </c>
      <c r="L42" s="295">
        <f t="shared" si="18"/>
        <v>3.0000000000000002E-2</v>
      </c>
      <c r="M42" s="295">
        <f t="shared" si="18"/>
        <v>3.0000000000000002E-2</v>
      </c>
      <c r="N42" s="295">
        <f t="shared" si="18"/>
        <v>3.0000000000000002E-2</v>
      </c>
      <c r="O42" s="295">
        <f t="shared" si="18"/>
        <v>3.0000000000000002E-2</v>
      </c>
      <c r="P42" s="295">
        <f t="shared" si="18"/>
        <v>3.0000000000000002E-2</v>
      </c>
      <c r="Q42" s="295">
        <f t="shared" si="18"/>
        <v>3.0000000000000002E-2</v>
      </c>
      <c r="R42" s="295">
        <f t="shared" si="18"/>
        <v>3.0000000000000002E-2</v>
      </c>
      <c r="S42" s="295">
        <f t="shared" si="18"/>
        <v>3.0000000000000002E-2</v>
      </c>
      <c r="T42" s="295">
        <f t="shared" si="18"/>
        <v>3.0000000000000002E-2</v>
      </c>
      <c r="U42" s="295">
        <f t="shared" si="18"/>
        <v>3.0000000000000002E-2</v>
      </c>
      <c r="V42" s="295">
        <f t="shared" si="18"/>
        <v>3.0000000000000002E-2</v>
      </c>
    </row>
    <row r="43" spans="1:26">
      <c r="B43" s="16"/>
      <c r="C43" s="16"/>
      <c r="D43" s="16"/>
      <c r="Y43" s="277" t="s">
        <v>82</v>
      </c>
      <c r="Z43" s="195"/>
    </row>
    <row r="44" spans="1:26">
      <c r="A44" s="16" t="s">
        <v>107</v>
      </c>
      <c r="B44" s="120">
        <f>SUM('Summary Output'!$G$8,'Summary Output'!$G$9)*Allocation!$C$13+'Amortization of Power Contract'!$C$35</f>
        <v>233722.92437076388</v>
      </c>
      <c r="C44" s="19">
        <f>B46</f>
        <v>233722.92437076388</v>
      </c>
      <c r="D44" s="19">
        <f>C46</f>
        <v>226711.23663964096</v>
      </c>
      <c r="E44" s="19">
        <f t="shared" ref="E44:V44" si="19">D46</f>
        <v>219699.54890851805</v>
      </c>
      <c r="F44" s="19">
        <f t="shared" si="19"/>
        <v>212687.86117739513</v>
      </c>
      <c r="G44" s="19">
        <f t="shared" si="19"/>
        <v>205676.17344627221</v>
      </c>
      <c r="H44" s="19">
        <f t="shared" si="19"/>
        <v>198664.48571514929</v>
      </c>
      <c r="I44" s="19">
        <f t="shared" si="19"/>
        <v>191652.79798402637</v>
      </c>
      <c r="J44" s="19">
        <f t="shared" si="19"/>
        <v>184641.11025290345</v>
      </c>
      <c r="K44" s="19">
        <f t="shared" si="19"/>
        <v>177629.42252178054</v>
      </c>
      <c r="L44" s="19">
        <f t="shared" si="19"/>
        <v>170617.73479065762</v>
      </c>
      <c r="M44" s="19">
        <f t="shared" si="19"/>
        <v>163606.0470595347</v>
      </c>
      <c r="N44" s="19">
        <f t="shared" si="19"/>
        <v>156594.35932841178</v>
      </c>
      <c r="O44" s="19">
        <f t="shared" si="19"/>
        <v>149582.67159728886</v>
      </c>
      <c r="P44" s="19">
        <f t="shared" si="19"/>
        <v>142570.98386616595</v>
      </c>
      <c r="Q44" s="19">
        <f t="shared" si="19"/>
        <v>135559.29613504303</v>
      </c>
      <c r="R44" s="19">
        <f t="shared" si="19"/>
        <v>128547.60840392011</v>
      </c>
      <c r="S44" s="19">
        <f t="shared" si="19"/>
        <v>121535.92067279719</v>
      </c>
      <c r="T44" s="19">
        <f t="shared" si="19"/>
        <v>114524.23294167427</v>
      </c>
      <c r="U44" s="19">
        <f t="shared" si="19"/>
        <v>107512.54521055135</v>
      </c>
      <c r="V44" s="19">
        <f t="shared" si="19"/>
        <v>100500.85747942844</v>
      </c>
      <c r="Y44" s="303"/>
      <c r="Z44" s="196"/>
    </row>
    <row r="45" spans="1:26">
      <c r="A45" s="16" t="s">
        <v>108</v>
      </c>
      <c r="B45" s="51">
        <f t="shared" ref="B45:V45" si="20">$B$44*B42</f>
        <v>0</v>
      </c>
      <c r="C45" s="51">
        <f t="shared" si="20"/>
        <v>7011.6877311229173</v>
      </c>
      <c r="D45" s="51">
        <f t="shared" si="20"/>
        <v>7011.6877311229173</v>
      </c>
      <c r="E45" s="51">
        <f t="shared" si="20"/>
        <v>7011.6877311229173</v>
      </c>
      <c r="F45" s="51">
        <f t="shared" si="20"/>
        <v>7011.6877311229173</v>
      </c>
      <c r="G45" s="51">
        <f t="shared" si="20"/>
        <v>7011.6877311229173</v>
      </c>
      <c r="H45" s="51">
        <f t="shared" si="20"/>
        <v>7011.6877311229173</v>
      </c>
      <c r="I45" s="51">
        <f t="shared" si="20"/>
        <v>7011.6877311229173</v>
      </c>
      <c r="J45" s="51">
        <f t="shared" si="20"/>
        <v>7011.6877311229173</v>
      </c>
      <c r="K45" s="51">
        <f t="shared" si="20"/>
        <v>7011.6877311229173</v>
      </c>
      <c r="L45" s="51">
        <f t="shared" si="20"/>
        <v>7011.6877311229173</v>
      </c>
      <c r="M45" s="51">
        <f t="shared" si="20"/>
        <v>7011.6877311229173</v>
      </c>
      <c r="N45" s="51">
        <f t="shared" si="20"/>
        <v>7011.6877311229173</v>
      </c>
      <c r="O45" s="51">
        <f t="shared" si="20"/>
        <v>7011.6877311229173</v>
      </c>
      <c r="P45" s="51">
        <f t="shared" si="20"/>
        <v>7011.6877311229173</v>
      </c>
      <c r="Q45" s="51">
        <f t="shared" si="20"/>
        <v>7011.6877311229173</v>
      </c>
      <c r="R45" s="51">
        <f t="shared" si="20"/>
        <v>7011.6877311229173</v>
      </c>
      <c r="S45" s="51">
        <f t="shared" si="20"/>
        <v>7011.6877311229173</v>
      </c>
      <c r="T45" s="51">
        <f t="shared" si="20"/>
        <v>7011.6877311229173</v>
      </c>
      <c r="U45" s="51">
        <f t="shared" si="20"/>
        <v>7011.6877311229173</v>
      </c>
      <c r="V45" s="51">
        <f t="shared" si="20"/>
        <v>7011.6877311229173</v>
      </c>
      <c r="Y45" s="278">
        <v>0</v>
      </c>
      <c r="Z45" s="279">
        <v>0</v>
      </c>
    </row>
    <row r="46" spans="1:26">
      <c r="A46" s="16" t="s">
        <v>109</v>
      </c>
      <c r="B46" s="19">
        <f>B44-B45</f>
        <v>233722.92437076388</v>
      </c>
      <c r="C46" s="19">
        <f t="shared" ref="C46:V46" si="21">C44-C45</f>
        <v>226711.23663964096</v>
      </c>
      <c r="D46" s="19">
        <f t="shared" si="21"/>
        <v>219699.54890851805</v>
      </c>
      <c r="E46" s="19">
        <f t="shared" si="21"/>
        <v>212687.86117739513</v>
      </c>
      <c r="F46" s="19">
        <f t="shared" si="21"/>
        <v>205676.17344627221</v>
      </c>
      <c r="G46" s="19">
        <f t="shared" si="21"/>
        <v>198664.48571514929</v>
      </c>
      <c r="H46" s="19">
        <f t="shared" si="21"/>
        <v>191652.79798402637</v>
      </c>
      <c r="I46" s="19">
        <f t="shared" si="21"/>
        <v>184641.11025290345</v>
      </c>
      <c r="J46" s="19">
        <f t="shared" si="21"/>
        <v>177629.42252178054</v>
      </c>
      <c r="K46" s="19">
        <f t="shared" si="21"/>
        <v>170617.73479065762</v>
      </c>
      <c r="L46" s="19">
        <f t="shared" si="21"/>
        <v>163606.0470595347</v>
      </c>
      <c r="M46" s="19">
        <f t="shared" si="21"/>
        <v>156594.35932841178</v>
      </c>
      <c r="N46" s="19">
        <f t="shared" si="21"/>
        <v>149582.67159728886</v>
      </c>
      <c r="O46" s="19">
        <f t="shared" si="21"/>
        <v>142570.98386616595</v>
      </c>
      <c r="P46" s="19">
        <f t="shared" si="21"/>
        <v>135559.29613504303</v>
      </c>
      <c r="Q46" s="19">
        <f t="shared" si="21"/>
        <v>128547.60840392011</v>
      </c>
      <c r="R46" s="19">
        <f t="shared" si="21"/>
        <v>121535.92067279719</v>
      </c>
      <c r="S46" s="19">
        <f t="shared" si="21"/>
        <v>114524.23294167427</v>
      </c>
      <c r="T46" s="19">
        <f t="shared" si="21"/>
        <v>107512.54521055135</v>
      </c>
      <c r="U46" s="19">
        <f t="shared" si="21"/>
        <v>100500.85747942844</v>
      </c>
      <c r="V46" s="19">
        <f t="shared" si="21"/>
        <v>93489.169748305518</v>
      </c>
      <c r="Y46" s="278">
        <v>1</v>
      </c>
      <c r="Z46" s="279">
        <v>0.05</v>
      </c>
    </row>
    <row r="47" spans="1:26">
      <c r="B47" s="16"/>
      <c r="C47" s="16"/>
      <c r="D47" s="16"/>
      <c r="Y47" s="278">
        <v>2</v>
      </c>
      <c r="Z47" s="279">
        <v>9.5000000000000001E-2</v>
      </c>
    </row>
    <row r="48" spans="1:26">
      <c r="A48" s="39" t="s">
        <v>13</v>
      </c>
      <c r="B48" s="16"/>
      <c r="C48" s="16"/>
      <c r="D48" s="16"/>
      <c r="Y48" s="278">
        <v>3</v>
      </c>
      <c r="Z48" s="279">
        <v>8.5500000000000007E-2</v>
      </c>
    </row>
    <row r="49" spans="1:26">
      <c r="A49" s="21" t="s">
        <v>105</v>
      </c>
      <c r="B49" s="294">
        <v>0</v>
      </c>
      <c r="C49" s="294">
        <v>12</v>
      </c>
      <c r="D49" s="294">
        <v>12</v>
      </c>
      <c r="E49" s="294">
        <v>12</v>
      </c>
      <c r="F49" s="294">
        <v>12</v>
      </c>
      <c r="G49" s="294">
        <v>12</v>
      </c>
      <c r="H49" s="294">
        <v>12</v>
      </c>
      <c r="I49" s="294">
        <v>12</v>
      </c>
      <c r="J49" s="294">
        <v>12</v>
      </c>
      <c r="K49" s="294">
        <v>12</v>
      </c>
      <c r="L49" s="294">
        <v>12</v>
      </c>
      <c r="M49" s="294">
        <v>12</v>
      </c>
      <c r="N49" s="294">
        <v>12</v>
      </c>
      <c r="O49" s="294">
        <v>12</v>
      </c>
      <c r="P49" s="294">
        <v>12</v>
      </c>
      <c r="Q49" s="294">
        <v>12</v>
      </c>
      <c r="R49" s="294">
        <v>12</v>
      </c>
      <c r="S49" s="294">
        <v>12</v>
      </c>
      <c r="T49" s="294">
        <v>12</v>
      </c>
      <c r="U49" s="294">
        <v>12</v>
      </c>
      <c r="V49" s="294">
        <v>12</v>
      </c>
      <c r="Y49" s="278">
        <v>4</v>
      </c>
      <c r="Z49" s="279">
        <v>7.6999999999999999E-2</v>
      </c>
    </row>
    <row r="50" spans="1:26">
      <c r="A50" s="16" t="s">
        <v>106</v>
      </c>
      <c r="B50" s="295">
        <v>0</v>
      </c>
      <c r="C50" s="295">
        <f>90%/30</f>
        <v>3.0000000000000002E-2</v>
      </c>
      <c r="D50" s="295">
        <f>90%/30</f>
        <v>3.0000000000000002E-2</v>
      </c>
      <c r="E50" s="295">
        <f t="shared" ref="E50:V50" si="22">90%/30</f>
        <v>3.0000000000000002E-2</v>
      </c>
      <c r="F50" s="295">
        <f t="shared" si="22"/>
        <v>3.0000000000000002E-2</v>
      </c>
      <c r="G50" s="295">
        <f t="shared" si="22"/>
        <v>3.0000000000000002E-2</v>
      </c>
      <c r="H50" s="295">
        <f t="shared" si="22"/>
        <v>3.0000000000000002E-2</v>
      </c>
      <c r="I50" s="295">
        <f t="shared" si="22"/>
        <v>3.0000000000000002E-2</v>
      </c>
      <c r="J50" s="295">
        <f t="shared" si="22"/>
        <v>3.0000000000000002E-2</v>
      </c>
      <c r="K50" s="295">
        <f t="shared" si="22"/>
        <v>3.0000000000000002E-2</v>
      </c>
      <c r="L50" s="295">
        <f t="shared" si="22"/>
        <v>3.0000000000000002E-2</v>
      </c>
      <c r="M50" s="295">
        <f t="shared" si="22"/>
        <v>3.0000000000000002E-2</v>
      </c>
      <c r="N50" s="295">
        <f t="shared" si="22"/>
        <v>3.0000000000000002E-2</v>
      </c>
      <c r="O50" s="295">
        <f t="shared" si="22"/>
        <v>3.0000000000000002E-2</v>
      </c>
      <c r="P50" s="295">
        <f t="shared" si="22"/>
        <v>3.0000000000000002E-2</v>
      </c>
      <c r="Q50" s="295">
        <f t="shared" si="22"/>
        <v>3.0000000000000002E-2</v>
      </c>
      <c r="R50" s="295">
        <f t="shared" si="22"/>
        <v>3.0000000000000002E-2</v>
      </c>
      <c r="S50" s="295">
        <f t="shared" si="22"/>
        <v>3.0000000000000002E-2</v>
      </c>
      <c r="T50" s="295">
        <f t="shared" si="22"/>
        <v>3.0000000000000002E-2</v>
      </c>
      <c r="U50" s="295">
        <f t="shared" si="22"/>
        <v>3.0000000000000002E-2</v>
      </c>
      <c r="V50" s="295">
        <f t="shared" si="22"/>
        <v>3.0000000000000002E-2</v>
      </c>
      <c r="Y50" s="278">
        <v>5</v>
      </c>
      <c r="Z50" s="279">
        <v>6.93E-2</v>
      </c>
    </row>
    <row r="51" spans="1:26">
      <c r="B51" s="16"/>
      <c r="C51" s="16"/>
      <c r="D51" s="16"/>
      <c r="Y51" s="278">
        <v>6</v>
      </c>
      <c r="Z51" s="279">
        <v>6.2300000000000001E-2</v>
      </c>
    </row>
    <row r="52" spans="1:26">
      <c r="A52" s="16" t="s">
        <v>107</v>
      </c>
      <c r="B52" s="120">
        <f>SUM('Summary Output'!$G$8,'Summary Output'!$G$9)*Allocation!$C$14+'Amortization of Power Contract'!$C$41</f>
        <v>367305.27066890523</v>
      </c>
      <c r="C52" s="19">
        <f>B54</f>
        <v>367305.27066890523</v>
      </c>
      <c r="D52" s="19">
        <f>C54</f>
        <v>356286.11254883808</v>
      </c>
      <c r="E52" s="19">
        <f t="shared" ref="E52:V52" si="23">D54</f>
        <v>345266.95442877093</v>
      </c>
      <c r="F52" s="19">
        <f t="shared" si="23"/>
        <v>334247.79630870378</v>
      </c>
      <c r="G52" s="19">
        <f t="shared" si="23"/>
        <v>323228.63818863663</v>
      </c>
      <c r="H52" s="19">
        <f t="shared" si="23"/>
        <v>312209.48006856948</v>
      </c>
      <c r="I52" s="19">
        <f t="shared" si="23"/>
        <v>301190.32194850233</v>
      </c>
      <c r="J52" s="19">
        <f t="shared" si="23"/>
        <v>290171.16382843518</v>
      </c>
      <c r="K52" s="19">
        <f t="shared" si="23"/>
        <v>279152.00570836803</v>
      </c>
      <c r="L52" s="19">
        <f t="shared" si="23"/>
        <v>268132.84758830088</v>
      </c>
      <c r="M52" s="19">
        <f t="shared" si="23"/>
        <v>257113.68946823373</v>
      </c>
      <c r="N52" s="19">
        <f t="shared" si="23"/>
        <v>246094.53134816658</v>
      </c>
      <c r="O52" s="19">
        <f t="shared" si="23"/>
        <v>235075.37322809943</v>
      </c>
      <c r="P52" s="19">
        <f t="shared" si="23"/>
        <v>224056.21510803228</v>
      </c>
      <c r="Q52" s="19">
        <f t="shared" si="23"/>
        <v>213037.05698796513</v>
      </c>
      <c r="R52" s="19">
        <f t="shared" si="23"/>
        <v>202017.89886789798</v>
      </c>
      <c r="S52" s="19">
        <f t="shared" si="23"/>
        <v>190998.74074783083</v>
      </c>
      <c r="T52" s="19">
        <f t="shared" si="23"/>
        <v>179979.58262776368</v>
      </c>
      <c r="U52" s="19">
        <f t="shared" si="23"/>
        <v>168960.42450769653</v>
      </c>
      <c r="V52" s="19">
        <f t="shared" si="23"/>
        <v>157941.26638762938</v>
      </c>
      <c r="Y52" s="278">
        <v>7</v>
      </c>
      <c r="Z52" s="279">
        <v>5.8999999999999997E-2</v>
      </c>
    </row>
    <row r="53" spans="1:26">
      <c r="A53" s="16" t="s">
        <v>108</v>
      </c>
      <c r="B53" s="51">
        <f t="shared" ref="B53:V53" si="24">$B$52*B50</f>
        <v>0</v>
      </c>
      <c r="C53" s="51">
        <f t="shared" si="24"/>
        <v>11019.158120067157</v>
      </c>
      <c r="D53" s="51">
        <f t="shared" si="24"/>
        <v>11019.158120067157</v>
      </c>
      <c r="E53" s="51">
        <f t="shared" si="24"/>
        <v>11019.158120067157</v>
      </c>
      <c r="F53" s="51">
        <f t="shared" si="24"/>
        <v>11019.158120067157</v>
      </c>
      <c r="G53" s="51">
        <f t="shared" si="24"/>
        <v>11019.158120067157</v>
      </c>
      <c r="H53" s="51">
        <f t="shared" si="24"/>
        <v>11019.158120067157</v>
      </c>
      <c r="I53" s="51">
        <f t="shared" si="24"/>
        <v>11019.158120067157</v>
      </c>
      <c r="J53" s="51">
        <f t="shared" si="24"/>
        <v>11019.158120067157</v>
      </c>
      <c r="K53" s="51">
        <f t="shared" si="24"/>
        <v>11019.158120067157</v>
      </c>
      <c r="L53" s="51">
        <f t="shared" si="24"/>
        <v>11019.158120067157</v>
      </c>
      <c r="M53" s="51">
        <f t="shared" si="24"/>
        <v>11019.158120067157</v>
      </c>
      <c r="N53" s="51">
        <f t="shared" si="24"/>
        <v>11019.158120067157</v>
      </c>
      <c r="O53" s="51">
        <f t="shared" si="24"/>
        <v>11019.158120067157</v>
      </c>
      <c r="P53" s="51">
        <f t="shared" si="24"/>
        <v>11019.158120067157</v>
      </c>
      <c r="Q53" s="51">
        <f t="shared" si="24"/>
        <v>11019.158120067157</v>
      </c>
      <c r="R53" s="51">
        <f t="shared" si="24"/>
        <v>11019.158120067157</v>
      </c>
      <c r="S53" s="51">
        <f t="shared" si="24"/>
        <v>11019.158120067157</v>
      </c>
      <c r="T53" s="51">
        <f t="shared" si="24"/>
        <v>11019.158120067157</v>
      </c>
      <c r="U53" s="51">
        <f t="shared" si="24"/>
        <v>11019.158120067157</v>
      </c>
      <c r="V53" s="51">
        <f t="shared" si="24"/>
        <v>11019.158120067157</v>
      </c>
      <c r="Y53" s="278">
        <v>8</v>
      </c>
      <c r="Z53" s="279">
        <v>5.91E-2</v>
      </c>
    </row>
    <row r="54" spans="1:26">
      <c r="A54" s="16" t="s">
        <v>109</v>
      </c>
      <c r="B54" s="19">
        <f>B52-B53</f>
        <v>367305.27066890523</v>
      </c>
      <c r="C54" s="19">
        <f t="shared" ref="C54:V54" si="25">C52-C53</f>
        <v>356286.11254883808</v>
      </c>
      <c r="D54" s="19">
        <f t="shared" si="25"/>
        <v>345266.95442877093</v>
      </c>
      <c r="E54" s="19">
        <f t="shared" si="25"/>
        <v>334247.79630870378</v>
      </c>
      <c r="F54" s="19">
        <f t="shared" si="25"/>
        <v>323228.63818863663</v>
      </c>
      <c r="G54" s="19">
        <f t="shared" si="25"/>
        <v>312209.48006856948</v>
      </c>
      <c r="H54" s="19">
        <f t="shared" si="25"/>
        <v>301190.32194850233</v>
      </c>
      <c r="I54" s="19">
        <f t="shared" si="25"/>
        <v>290171.16382843518</v>
      </c>
      <c r="J54" s="19">
        <f t="shared" si="25"/>
        <v>279152.00570836803</v>
      </c>
      <c r="K54" s="19">
        <f t="shared" si="25"/>
        <v>268132.84758830088</v>
      </c>
      <c r="L54" s="19">
        <f t="shared" si="25"/>
        <v>257113.68946823373</v>
      </c>
      <c r="M54" s="19">
        <f t="shared" si="25"/>
        <v>246094.53134816658</v>
      </c>
      <c r="N54" s="19">
        <f t="shared" si="25"/>
        <v>235075.37322809943</v>
      </c>
      <c r="O54" s="19">
        <f t="shared" si="25"/>
        <v>224056.21510803228</v>
      </c>
      <c r="P54" s="19">
        <f t="shared" si="25"/>
        <v>213037.05698796513</v>
      </c>
      <c r="Q54" s="19">
        <f t="shared" si="25"/>
        <v>202017.89886789798</v>
      </c>
      <c r="R54" s="19">
        <f t="shared" si="25"/>
        <v>190998.74074783083</v>
      </c>
      <c r="S54" s="19">
        <f t="shared" si="25"/>
        <v>179979.58262776368</v>
      </c>
      <c r="T54" s="19">
        <f t="shared" si="25"/>
        <v>168960.42450769653</v>
      </c>
      <c r="U54" s="19">
        <f t="shared" si="25"/>
        <v>157941.26638762938</v>
      </c>
      <c r="V54" s="19">
        <f t="shared" si="25"/>
        <v>146922.10826756223</v>
      </c>
      <c r="Y54" s="278">
        <v>9</v>
      </c>
      <c r="Z54" s="279">
        <v>5.8999999999999997E-2</v>
      </c>
    </row>
    <row r="55" spans="1:26">
      <c r="B55" s="16"/>
      <c r="C55" s="16"/>
      <c r="D55" s="16"/>
      <c r="Y55" s="278">
        <v>10</v>
      </c>
      <c r="Z55" s="279">
        <v>5.91E-2</v>
      </c>
    </row>
    <row r="56" spans="1:26">
      <c r="A56" s="39" t="s">
        <v>110</v>
      </c>
      <c r="B56" s="16"/>
      <c r="C56" s="16"/>
      <c r="D56" s="16"/>
      <c r="Y56" s="278">
        <v>11</v>
      </c>
      <c r="Z56" s="279">
        <v>5.8999999999999997E-2</v>
      </c>
    </row>
    <row r="57" spans="1:26">
      <c r="A57" s="16" t="s">
        <v>107</v>
      </c>
      <c r="B57" s="226">
        <f>SUM(B20,B28,B44,B52,B36,B12)</f>
        <v>1474168.8066622026</v>
      </c>
      <c r="C57" s="226">
        <f>B59</f>
        <v>1474168.8066622026</v>
      </c>
      <c r="D57" s="226">
        <f t="shared" ref="D57:V57" si="26">C59</f>
        <v>1429943.7424623366</v>
      </c>
      <c r="E57" s="226">
        <f t="shared" si="26"/>
        <v>1385718.6782624705</v>
      </c>
      <c r="F57" s="226">
        <f t="shared" si="26"/>
        <v>1341493.6140626045</v>
      </c>
      <c r="G57" s="226">
        <f t="shared" si="26"/>
        <v>1297268.5498627385</v>
      </c>
      <c r="H57" s="226">
        <f t="shared" si="26"/>
        <v>1253043.4856628724</v>
      </c>
      <c r="I57" s="226">
        <f t="shared" si="26"/>
        <v>1208818.4214630064</v>
      </c>
      <c r="J57" s="226">
        <f t="shared" si="26"/>
        <v>1164593.3572631404</v>
      </c>
      <c r="K57" s="226">
        <f t="shared" si="26"/>
        <v>1120368.2930632744</v>
      </c>
      <c r="L57" s="226">
        <f t="shared" si="26"/>
        <v>1076143.2288634083</v>
      </c>
      <c r="M57" s="226">
        <f t="shared" si="26"/>
        <v>1031918.1646635423</v>
      </c>
      <c r="N57" s="226">
        <f t="shared" si="26"/>
        <v>987693.10046367627</v>
      </c>
      <c r="O57" s="226">
        <f t="shared" si="26"/>
        <v>943468.03626381024</v>
      </c>
      <c r="P57" s="226">
        <f t="shared" si="26"/>
        <v>899242.97206394421</v>
      </c>
      <c r="Q57" s="226">
        <f t="shared" si="26"/>
        <v>855017.90786407818</v>
      </c>
      <c r="R57" s="226">
        <f t="shared" si="26"/>
        <v>810792.84366421215</v>
      </c>
      <c r="S57" s="226">
        <f t="shared" si="26"/>
        <v>766567.77946434612</v>
      </c>
      <c r="T57" s="226">
        <f t="shared" si="26"/>
        <v>722342.7152644801</v>
      </c>
      <c r="U57" s="226">
        <f t="shared" si="26"/>
        <v>678117.65106461407</v>
      </c>
      <c r="V57" s="226">
        <f t="shared" si="26"/>
        <v>633892.58686474804</v>
      </c>
      <c r="Y57" s="278">
        <v>12</v>
      </c>
      <c r="Z57" s="279">
        <v>5.91E-2</v>
      </c>
    </row>
    <row r="58" spans="1:26">
      <c r="A58" s="16" t="s">
        <v>108</v>
      </c>
      <c r="B58" s="326">
        <f>SUM(B21,B29,B45,B53,B37,B13)</f>
        <v>0</v>
      </c>
      <c r="C58" s="326">
        <f t="shared" ref="C58:V58" si="27">SUM(C21,C29,C45,C53,C37,C13)</f>
        <v>44225.064199866087</v>
      </c>
      <c r="D58" s="326">
        <f t="shared" si="27"/>
        <v>44225.064199866087</v>
      </c>
      <c r="E58" s="326">
        <f t="shared" si="27"/>
        <v>44225.064199866087</v>
      </c>
      <c r="F58" s="326">
        <f t="shared" si="27"/>
        <v>44225.064199866087</v>
      </c>
      <c r="G58" s="326">
        <f t="shared" si="27"/>
        <v>44225.064199866087</v>
      </c>
      <c r="H58" s="326">
        <f t="shared" si="27"/>
        <v>44225.064199866087</v>
      </c>
      <c r="I58" s="326">
        <f t="shared" si="27"/>
        <v>44225.064199866087</v>
      </c>
      <c r="J58" s="326">
        <f t="shared" si="27"/>
        <v>44225.064199866087</v>
      </c>
      <c r="K58" s="326">
        <f t="shared" si="27"/>
        <v>44225.064199866087</v>
      </c>
      <c r="L58" s="326">
        <f t="shared" si="27"/>
        <v>44225.064199866087</v>
      </c>
      <c r="M58" s="326">
        <f t="shared" si="27"/>
        <v>44225.064199866087</v>
      </c>
      <c r="N58" s="326">
        <f t="shared" si="27"/>
        <v>44225.064199866087</v>
      </c>
      <c r="O58" s="326">
        <f t="shared" si="27"/>
        <v>44225.064199866087</v>
      </c>
      <c r="P58" s="326">
        <f t="shared" si="27"/>
        <v>44225.064199866087</v>
      </c>
      <c r="Q58" s="326">
        <f t="shared" si="27"/>
        <v>44225.064199866087</v>
      </c>
      <c r="R58" s="326">
        <f t="shared" si="27"/>
        <v>44225.064199866087</v>
      </c>
      <c r="S58" s="326">
        <f t="shared" si="27"/>
        <v>44225.064199866087</v>
      </c>
      <c r="T58" s="326">
        <f t="shared" si="27"/>
        <v>44225.064199866087</v>
      </c>
      <c r="U58" s="326">
        <f t="shared" si="27"/>
        <v>44225.064199866087</v>
      </c>
      <c r="V58" s="326">
        <f t="shared" si="27"/>
        <v>44225.064199866087</v>
      </c>
      <c r="Y58" s="278">
        <v>13</v>
      </c>
      <c r="Z58" s="279">
        <v>5.8999999999999997E-2</v>
      </c>
    </row>
    <row r="59" spans="1:26">
      <c r="A59" s="16" t="s">
        <v>109</v>
      </c>
      <c r="B59" s="226">
        <f>B57-B58</f>
        <v>1474168.8066622026</v>
      </c>
      <c r="C59" s="226">
        <f t="shared" ref="C59:V59" si="28">C57-C58</f>
        <v>1429943.7424623366</v>
      </c>
      <c r="D59" s="226">
        <f t="shared" si="28"/>
        <v>1385718.6782624705</v>
      </c>
      <c r="E59" s="226">
        <f t="shared" si="28"/>
        <v>1341493.6140626045</v>
      </c>
      <c r="F59" s="226">
        <f t="shared" si="28"/>
        <v>1297268.5498627385</v>
      </c>
      <c r="G59" s="226">
        <f t="shared" si="28"/>
        <v>1253043.4856628724</v>
      </c>
      <c r="H59" s="226">
        <f t="shared" si="28"/>
        <v>1208818.4214630064</v>
      </c>
      <c r="I59" s="226">
        <f t="shared" si="28"/>
        <v>1164593.3572631404</v>
      </c>
      <c r="J59" s="226">
        <f t="shared" si="28"/>
        <v>1120368.2930632744</v>
      </c>
      <c r="K59" s="226">
        <f t="shared" si="28"/>
        <v>1076143.2288634083</v>
      </c>
      <c r="L59" s="226">
        <f t="shared" si="28"/>
        <v>1031918.1646635423</v>
      </c>
      <c r="M59" s="226">
        <f t="shared" si="28"/>
        <v>987693.10046367627</v>
      </c>
      <c r="N59" s="226">
        <f t="shared" si="28"/>
        <v>943468.03626381024</v>
      </c>
      <c r="O59" s="226">
        <f t="shared" si="28"/>
        <v>899242.97206394421</v>
      </c>
      <c r="P59" s="226">
        <f t="shared" si="28"/>
        <v>855017.90786407818</v>
      </c>
      <c r="Q59" s="226">
        <f t="shared" si="28"/>
        <v>810792.84366421215</v>
      </c>
      <c r="R59" s="226">
        <f t="shared" si="28"/>
        <v>766567.77946434612</v>
      </c>
      <c r="S59" s="226">
        <f t="shared" si="28"/>
        <v>722342.7152644801</v>
      </c>
      <c r="T59" s="226">
        <f t="shared" si="28"/>
        <v>678117.65106461407</v>
      </c>
      <c r="U59" s="226">
        <f t="shared" si="28"/>
        <v>633892.58686474804</v>
      </c>
      <c r="V59" s="226">
        <f t="shared" si="28"/>
        <v>589667.52266488201</v>
      </c>
      <c r="Y59" s="278">
        <v>14</v>
      </c>
      <c r="Z59" s="279">
        <v>5.91E-2</v>
      </c>
    </row>
    <row r="60" spans="1:26">
      <c r="B60" s="459"/>
      <c r="C60" s="16"/>
      <c r="D60" s="16"/>
      <c r="V60" s="530"/>
      <c r="Y60" s="278">
        <v>15</v>
      </c>
      <c r="Z60" s="279">
        <v>5.8999999999999997E-2</v>
      </c>
    </row>
    <row r="61" spans="1:26">
      <c r="B61" s="16"/>
      <c r="C61" s="16"/>
      <c r="D61" s="16"/>
      <c r="Y61" s="278">
        <v>16</v>
      </c>
      <c r="Z61" s="280">
        <v>2.9499999999999998E-2</v>
      </c>
    </row>
    <row r="62" spans="1:26">
      <c r="A62" s="300" t="s">
        <v>115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14"/>
      <c r="X62" s="14"/>
      <c r="Y62" s="281"/>
      <c r="Z62" s="282">
        <f>SUM(Z46:Z61)</f>
        <v>1.0000000000000004</v>
      </c>
    </row>
    <row r="63" spans="1:26">
      <c r="A63" s="14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14"/>
      <c r="X63" s="14"/>
    </row>
    <row r="64" spans="1:26">
      <c r="A64" s="39" t="s">
        <v>117</v>
      </c>
      <c r="B64" s="16"/>
      <c r="C64" s="16"/>
      <c r="D64" s="16"/>
    </row>
    <row r="65" spans="1:22">
      <c r="A65" s="39"/>
      <c r="B65" s="16"/>
      <c r="C65" s="16"/>
      <c r="D65" s="16"/>
    </row>
    <row r="66" spans="1:22">
      <c r="A66" s="236" t="s">
        <v>9</v>
      </c>
    </row>
    <row r="67" spans="1:22">
      <c r="A67" s="16" t="s">
        <v>119</v>
      </c>
      <c r="B67" s="123">
        <f>SUM('Summary Output'!$G$8:$G$9)*Allocation!$C$7</f>
        <v>164051.74328474054</v>
      </c>
      <c r="C67" s="123">
        <f t="shared" ref="C67:V67" si="29">B70</f>
        <v>164051.74328474054</v>
      </c>
      <c r="D67" s="123">
        <f t="shared" si="29"/>
        <v>155849.15612050353</v>
      </c>
      <c r="E67" s="123">
        <f t="shared" si="29"/>
        <v>140264.24050845316</v>
      </c>
      <c r="F67" s="123">
        <f t="shared" si="29"/>
        <v>126237.81645760784</v>
      </c>
      <c r="G67" s="123">
        <f t="shared" si="29"/>
        <v>113605.83222468282</v>
      </c>
      <c r="H67" s="123">
        <f t="shared" si="29"/>
        <v>102237.0464150503</v>
      </c>
      <c r="I67" s="123">
        <f t="shared" si="29"/>
        <v>92016.622808410961</v>
      </c>
      <c r="J67" s="123">
        <f t="shared" si="29"/>
        <v>82337.569954611274</v>
      </c>
      <c r="K67" s="123">
        <f t="shared" si="29"/>
        <v>72642.111926483107</v>
      </c>
      <c r="L67" s="123">
        <f t="shared" si="29"/>
        <v>62963.059072683413</v>
      </c>
      <c r="M67" s="123">
        <f t="shared" si="29"/>
        <v>53267.601044555246</v>
      </c>
      <c r="N67" s="123">
        <f t="shared" si="29"/>
        <v>43588.548190755551</v>
      </c>
      <c r="O67" s="123">
        <f t="shared" si="29"/>
        <v>33893.090162627384</v>
      </c>
      <c r="P67" s="123">
        <f t="shared" si="29"/>
        <v>24214.03730882769</v>
      </c>
      <c r="Q67" s="123">
        <f t="shared" si="29"/>
        <v>14518.579280699523</v>
      </c>
      <c r="R67" s="123">
        <f t="shared" si="29"/>
        <v>4839.5264268998308</v>
      </c>
      <c r="S67" s="123">
        <f t="shared" si="29"/>
        <v>-1.546140993013978E-11</v>
      </c>
      <c r="T67" s="123">
        <f t="shared" si="29"/>
        <v>-1.546140993013978E-11</v>
      </c>
      <c r="U67" s="123">
        <f t="shared" si="29"/>
        <v>-1.546140993013978E-11</v>
      </c>
      <c r="V67" s="123">
        <f t="shared" si="29"/>
        <v>-1.546140993013978E-11</v>
      </c>
    </row>
    <row r="68" spans="1:22">
      <c r="A68" s="16" t="s">
        <v>106</v>
      </c>
      <c r="B68" s="302">
        <f t="shared" ref="B68:R68" si="30">VLOOKUP(B5,$Y$45:$Z$61,2)</f>
        <v>0</v>
      </c>
      <c r="C68" s="302">
        <f t="shared" si="30"/>
        <v>0.05</v>
      </c>
      <c r="D68" s="302">
        <f t="shared" si="30"/>
        <v>9.5000000000000001E-2</v>
      </c>
      <c r="E68" s="302">
        <f t="shared" si="30"/>
        <v>8.5500000000000007E-2</v>
      </c>
      <c r="F68" s="302">
        <f t="shared" si="30"/>
        <v>7.6999999999999999E-2</v>
      </c>
      <c r="G68" s="302">
        <f t="shared" si="30"/>
        <v>6.93E-2</v>
      </c>
      <c r="H68" s="302">
        <f t="shared" si="30"/>
        <v>6.2300000000000001E-2</v>
      </c>
      <c r="I68" s="302">
        <f t="shared" si="30"/>
        <v>5.8999999999999997E-2</v>
      </c>
      <c r="J68" s="302">
        <f t="shared" si="30"/>
        <v>5.91E-2</v>
      </c>
      <c r="K68" s="302">
        <f t="shared" si="30"/>
        <v>5.8999999999999997E-2</v>
      </c>
      <c r="L68" s="302">
        <f t="shared" si="30"/>
        <v>5.91E-2</v>
      </c>
      <c r="M68" s="302">
        <f t="shared" si="30"/>
        <v>5.8999999999999997E-2</v>
      </c>
      <c r="N68" s="302">
        <f t="shared" si="30"/>
        <v>5.91E-2</v>
      </c>
      <c r="O68" s="302">
        <f t="shared" si="30"/>
        <v>5.8999999999999997E-2</v>
      </c>
      <c r="P68" s="302">
        <f t="shared" si="30"/>
        <v>5.91E-2</v>
      </c>
      <c r="Q68" s="302">
        <f t="shared" si="30"/>
        <v>5.8999999999999997E-2</v>
      </c>
      <c r="R68" s="302">
        <f t="shared" si="30"/>
        <v>2.9499999999999998E-2</v>
      </c>
      <c r="S68" s="302">
        <v>0</v>
      </c>
      <c r="T68" s="302">
        <v>0</v>
      </c>
      <c r="U68" s="302">
        <v>0</v>
      </c>
      <c r="V68" s="302">
        <v>0</v>
      </c>
    </row>
    <row r="69" spans="1:22">
      <c r="A69" s="16" t="s">
        <v>108</v>
      </c>
      <c r="B69" s="198">
        <f>$B$67*B68</f>
        <v>0</v>
      </c>
      <c r="C69" s="198">
        <f t="shared" ref="C69:V69" si="31">$B$67*C68</f>
        <v>8202.5871642370275</v>
      </c>
      <c r="D69" s="198">
        <f t="shared" si="31"/>
        <v>15584.915612050352</v>
      </c>
      <c r="E69" s="198">
        <f t="shared" si="31"/>
        <v>14026.424050845317</v>
      </c>
      <c r="F69" s="198">
        <f t="shared" si="31"/>
        <v>12631.984232925022</v>
      </c>
      <c r="G69" s="198">
        <f t="shared" si="31"/>
        <v>11368.78580963252</v>
      </c>
      <c r="H69" s="198">
        <f t="shared" si="31"/>
        <v>10220.423606639337</v>
      </c>
      <c r="I69" s="198">
        <f t="shared" si="31"/>
        <v>9679.0528537996925</v>
      </c>
      <c r="J69" s="198">
        <f t="shared" si="31"/>
        <v>9695.4580281281669</v>
      </c>
      <c r="K69" s="198">
        <f t="shared" si="31"/>
        <v>9679.0528537996925</v>
      </c>
      <c r="L69" s="198">
        <f t="shared" si="31"/>
        <v>9695.4580281281669</v>
      </c>
      <c r="M69" s="198">
        <f t="shared" si="31"/>
        <v>9679.0528537996925</v>
      </c>
      <c r="N69" s="198">
        <f t="shared" si="31"/>
        <v>9695.4580281281669</v>
      </c>
      <c r="O69" s="198">
        <f t="shared" si="31"/>
        <v>9679.0528537996925</v>
      </c>
      <c r="P69" s="198">
        <f t="shared" si="31"/>
        <v>9695.4580281281669</v>
      </c>
      <c r="Q69" s="198">
        <f t="shared" si="31"/>
        <v>9679.0528537996925</v>
      </c>
      <c r="R69" s="198">
        <f t="shared" si="31"/>
        <v>4839.5264268998462</v>
      </c>
      <c r="S69" s="198">
        <f t="shared" si="31"/>
        <v>0</v>
      </c>
      <c r="T69" s="198">
        <f t="shared" si="31"/>
        <v>0</v>
      </c>
      <c r="U69" s="198">
        <f t="shared" si="31"/>
        <v>0</v>
      </c>
      <c r="V69" s="198">
        <f t="shared" si="31"/>
        <v>0</v>
      </c>
    </row>
    <row r="70" spans="1:22">
      <c r="A70" s="16" t="s">
        <v>118</v>
      </c>
      <c r="B70" s="19">
        <f t="shared" ref="B70:V70" si="32">B67-B69</f>
        <v>164051.74328474054</v>
      </c>
      <c r="C70" s="19">
        <f t="shared" si="32"/>
        <v>155849.15612050353</v>
      </c>
      <c r="D70" s="19">
        <f t="shared" si="32"/>
        <v>140264.24050845316</v>
      </c>
      <c r="E70" s="19">
        <f t="shared" si="32"/>
        <v>126237.81645760784</v>
      </c>
      <c r="F70" s="19">
        <f t="shared" si="32"/>
        <v>113605.83222468282</v>
      </c>
      <c r="G70" s="19">
        <f t="shared" si="32"/>
        <v>102237.0464150503</v>
      </c>
      <c r="H70" s="19">
        <f t="shared" si="32"/>
        <v>92016.622808410961</v>
      </c>
      <c r="I70" s="19">
        <f t="shared" si="32"/>
        <v>82337.569954611274</v>
      </c>
      <c r="J70" s="19">
        <f t="shared" si="32"/>
        <v>72642.111926483107</v>
      </c>
      <c r="K70" s="19">
        <f t="shared" si="32"/>
        <v>62963.059072683413</v>
      </c>
      <c r="L70" s="19">
        <f t="shared" si="32"/>
        <v>53267.601044555246</v>
      </c>
      <c r="M70" s="19">
        <f t="shared" si="32"/>
        <v>43588.548190755551</v>
      </c>
      <c r="N70" s="19">
        <f t="shared" si="32"/>
        <v>33893.090162627384</v>
      </c>
      <c r="O70" s="19">
        <f t="shared" si="32"/>
        <v>24214.03730882769</v>
      </c>
      <c r="P70" s="19">
        <f t="shared" si="32"/>
        <v>14518.579280699523</v>
      </c>
      <c r="Q70" s="19">
        <f t="shared" si="32"/>
        <v>4839.5264268998308</v>
      </c>
      <c r="R70" s="19">
        <f t="shared" si="32"/>
        <v>-1.546140993013978E-11</v>
      </c>
      <c r="S70" s="19">
        <f t="shared" si="32"/>
        <v>-1.546140993013978E-11</v>
      </c>
      <c r="T70" s="19">
        <f t="shared" si="32"/>
        <v>-1.546140993013978E-11</v>
      </c>
      <c r="U70" s="19">
        <f t="shared" si="32"/>
        <v>-1.546140993013978E-11</v>
      </c>
      <c r="V70" s="19">
        <f t="shared" si="32"/>
        <v>-1.546140993013978E-11</v>
      </c>
    </row>
    <row r="72" spans="1:22">
      <c r="A72" s="236" t="s">
        <v>10</v>
      </c>
    </row>
    <row r="73" spans="1:22">
      <c r="A73" s="16" t="s">
        <v>119</v>
      </c>
      <c r="B73" s="123">
        <f>SUM('Summary Output'!$G$8:$G$9)*Allocation!$C$8</f>
        <v>198352.78148055312</v>
      </c>
      <c r="C73" s="123">
        <f t="shared" ref="C73:V73" si="33">B76</f>
        <v>198352.78148055312</v>
      </c>
      <c r="D73" s="123">
        <f t="shared" si="33"/>
        <v>188435.14240652547</v>
      </c>
      <c r="E73" s="123">
        <f t="shared" si="33"/>
        <v>169591.62816587291</v>
      </c>
      <c r="F73" s="123">
        <f t="shared" si="33"/>
        <v>152632.46534928563</v>
      </c>
      <c r="G73" s="123">
        <f t="shared" si="33"/>
        <v>137359.30117528304</v>
      </c>
      <c r="H73" s="123">
        <f t="shared" si="33"/>
        <v>123613.4534186807</v>
      </c>
      <c r="I73" s="123">
        <f t="shared" si="33"/>
        <v>111256.07513244225</v>
      </c>
      <c r="J73" s="123">
        <f t="shared" si="33"/>
        <v>99553.26102508961</v>
      </c>
      <c r="K73" s="123">
        <f t="shared" si="33"/>
        <v>87830.611639588926</v>
      </c>
      <c r="L73" s="123">
        <f t="shared" si="33"/>
        <v>76127.797532236291</v>
      </c>
      <c r="M73" s="123">
        <f t="shared" si="33"/>
        <v>64405.148146735599</v>
      </c>
      <c r="N73" s="123">
        <f t="shared" si="33"/>
        <v>52702.334039382964</v>
      </c>
      <c r="O73" s="123">
        <f t="shared" si="33"/>
        <v>40979.684653882272</v>
      </c>
      <c r="P73" s="123">
        <f t="shared" si="33"/>
        <v>29276.870546529637</v>
      </c>
      <c r="Q73" s="123">
        <f t="shared" si="33"/>
        <v>17554.221161028945</v>
      </c>
      <c r="R73" s="123">
        <f t="shared" si="33"/>
        <v>5851.407053676312</v>
      </c>
      <c r="S73" s="123">
        <f t="shared" si="33"/>
        <v>0</v>
      </c>
      <c r="T73" s="123">
        <f t="shared" si="33"/>
        <v>0</v>
      </c>
      <c r="U73" s="123">
        <f t="shared" si="33"/>
        <v>0</v>
      </c>
      <c r="V73" s="123">
        <f t="shared" si="33"/>
        <v>0</v>
      </c>
    </row>
    <row r="74" spans="1:22">
      <c r="A74" s="16" t="s">
        <v>106</v>
      </c>
      <c r="B74" s="302">
        <f t="shared" ref="B74:R74" si="34">VLOOKUP(B5,$Y$45:$Z$61,2)</f>
        <v>0</v>
      </c>
      <c r="C74" s="302">
        <f t="shared" si="34"/>
        <v>0.05</v>
      </c>
      <c r="D74" s="302">
        <f t="shared" si="34"/>
        <v>9.5000000000000001E-2</v>
      </c>
      <c r="E74" s="302">
        <f t="shared" si="34"/>
        <v>8.5500000000000007E-2</v>
      </c>
      <c r="F74" s="302">
        <f t="shared" si="34"/>
        <v>7.6999999999999999E-2</v>
      </c>
      <c r="G74" s="302">
        <f t="shared" si="34"/>
        <v>6.93E-2</v>
      </c>
      <c r="H74" s="302">
        <f t="shared" si="34"/>
        <v>6.2300000000000001E-2</v>
      </c>
      <c r="I74" s="302">
        <f t="shared" si="34"/>
        <v>5.8999999999999997E-2</v>
      </c>
      <c r="J74" s="302">
        <f t="shared" si="34"/>
        <v>5.91E-2</v>
      </c>
      <c r="K74" s="302">
        <f t="shared" si="34"/>
        <v>5.8999999999999997E-2</v>
      </c>
      <c r="L74" s="302">
        <f t="shared" si="34"/>
        <v>5.91E-2</v>
      </c>
      <c r="M74" s="302">
        <f t="shared" si="34"/>
        <v>5.8999999999999997E-2</v>
      </c>
      <c r="N74" s="302">
        <f t="shared" si="34"/>
        <v>5.91E-2</v>
      </c>
      <c r="O74" s="302">
        <f t="shared" si="34"/>
        <v>5.8999999999999997E-2</v>
      </c>
      <c r="P74" s="302">
        <f t="shared" si="34"/>
        <v>5.91E-2</v>
      </c>
      <c r="Q74" s="302">
        <f t="shared" si="34"/>
        <v>5.8999999999999997E-2</v>
      </c>
      <c r="R74" s="302">
        <f t="shared" si="34"/>
        <v>2.9499999999999998E-2</v>
      </c>
      <c r="S74" s="302">
        <v>0</v>
      </c>
      <c r="T74" s="302">
        <v>0</v>
      </c>
      <c r="U74" s="302">
        <v>0</v>
      </c>
      <c r="V74" s="302">
        <v>0</v>
      </c>
    </row>
    <row r="75" spans="1:22">
      <c r="A75" s="16" t="s">
        <v>108</v>
      </c>
      <c r="B75" s="198">
        <f>$B$73*B74</f>
        <v>0</v>
      </c>
      <c r="C75" s="198">
        <f t="shared" ref="C75:V75" si="35">$B$73*C74</f>
        <v>9917.6390740276565</v>
      </c>
      <c r="D75" s="198">
        <f t="shared" si="35"/>
        <v>18843.514240652548</v>
      </c>
      <c r="E75" s="198">
        <f t="shared" si="35"/>
        <v>16959.162816587293</v>
      </c>
      <c r="F75" s="198">
        <f t="shared" si="35"/>
        <v>15273.16417400259</v>
      </c>
      <c r="G75" s="198">
        <f t="shared" si="35"/>
        <v>13745.847756602332</v>
      </c>
      <c r="H75" s="198">
        <f t="shared" si="35"/>
        <v>12357.37828623846</v>
      </c>
      <c r="I75" s="198">
        <f t="shared" si="35"/>
        <v>11702.814107352633</v>
      </c>
      <c r="J75" s="198">
        <f t="shared" si="35"/>
        <v>11722.64938550069</v>
      </c>
      <c r="K75" s="198">
        <f t="shared" si="35"/>
        <v>11702.814107352633</v>
      </c>
      <c r="L75" s="198">
        <f t="shared" si="35"/>
        <v>11722.64938550069</v>
      </c>
      <c r="M75" s="198">
        <f t="shared" si="35"/>
        <v>11702.814107352633</v>
      </c>
      <c r="N75" s="198">
        <f t="shared" si="35"/>
        <v>11722.64938550069</v>
      </c>
      <c r="O75" s="198">
        <f t="shared" si="35"/>
        <v>11702.814107352633</v>
      </c>
      <c r="P75" s="198">
        <f t="shared" si="35"/>
        <v>11722.64938550069</v>
      </c>
      <c r="Q75" s="198">
        <f t="shared" si="35"/>
        <v>11702.814107352633</v>
      </c>
      <c r="R75" s="198">
        <f t="shared" si="35"/>
        <v>5851.4070536763165</v>
      </c>
      <c r="S75" s="198">
        <f t="shared" si="35"/>
        <v>0</v>
      </c>
      <c r="T75" s="198">
        <f t="shared" si="35"/>
        <v>0</v>
      </c>
      <c r="U75" s="198">
        <f t="shared" si="35"/>
        <v>0</v>
      </c>
      <c r="V75" s="198">
        <f t="shared" si="35"/>
        <v>0</v>
      </c>
    </row>
    <row r="76" spans="1:22">
      <c r="A76" s="16" t="s">
        <v>118</v>
      </c>
      <c r="B76" s="19">
        <f t="shared" ref="B76:V76" si="36">B73-B75</f>
        <v>198352.78148055312</v>
      </c>
      <c r="C76" s="19">
        <f t="shared" si="36"/>
        <v>188435.14240652547</v>
      </c>
      <c r="D76" s="19">
        <f t="shared" si="36"/>
        <v>169591.62816587291</v>
      </c>
      <c r="E76" s="19">
        <f t="shared" si="36"/>
        <v>152632.46534928563</v>
      </c>
      <c r="F76" s="19">
        <f t="shared" si="36"/>
        <v>137359.30117528304</v>
      </c>
      <c r="G76" s="19">
        <f t="shared" si="36"/>
        <v>123613.4534186807</v>
      </c>
      <c r="H76" s="19">
        <f t="shared" si="36"/>
        <v>111256.07513244225</v>
      </c>
      <c r="I76" s="19">
        <f t="shared" si="36"/>
        <v>99553.26102508961</v>
      </c>
      <c r="J76" s="19">
        <f t="shared" si="36"/>
        <v>87830.611639588926</v>
      </c>
      <c r="K76" s="19">
        <f t="shared" si="36"/>
        <v>76127.797532236291</v>
      </c>
      <c r="L76" s="19">
        <f t="shared" si="36"/>
        <v>64405.148146735599</v>
      </c>
      <c r="M76" s="19">
        <f t="shared" si="36"/>
        <v>52702.334039382964</v>
      </c>
      <c r="N76" s="19">
        <f t="shared" si="36"/>
        <v>40979.684653882272</v>
      </c>
      <c r="O76" s="19">
        <f t="shared" si="36"/>
        <v>29276.870546529637</v>
      </c>
      <c r="P76" s="19">
        <f t="shared" si="36"/>
        <v>17554.221161028945</v>
      </c>
      <c r="Q76" s="19">
        <f t="shared" si="36"/>
        <v>5851.407053676312</v>
      </c>
      <c r="R76" s="19">
        <f t="shared" si="36"/>
        <v>0</v>
      </c>
      <c r="S76" s="19">
        <f t="shared" si="36"/>
        <v>0</v>
      </c>
      <c r="T76" s="19">
        <f t="shared" si="36"/>
        <v>0</v>
      </c>
      <c r="U76" s="19">
        <f t="shared" si="36"/>
        <v>0</v>
      </c>
      <c r="V76" s="19">
        <f t="shared" si="36"/>
        <v>0</v>
      </c>
    </row>
    <row r="78" spans="1:22">
      <c r="A78" s="236" t="s">
        <v>11</v>
      </c>
    </row>
    <row r="79" spans="1:22">
      <c r="A79" s="16" t="s">
        <v>119</v>
      </c>
      <c r="B79" s="123">
        <f>SUM('Summary Output'!$G$8:$G$9)*Allocation!$C$9</f>
        <v>190754.53330646225</v>
      </c>
      <c r="C79" s="123">
        <f t="shared" ref="C79:V79" si="37">B82</f>
        <v>190754.53330646225</v>
      </c>
      <c r="D79" s="123">
        <f t="shared" si="37"/>
        <v>181216.80664113915</v>
      </c>
      <c r="E79" s="123">
        <f t="shared" si="37"/>
        <v>163095.12597702522</v>
      </c>
      <c r="F79" s="123">
        <f t="shared" si="37"/>
        <v>146785.61337932269</v>
      </c>
      <c r="G79" s="123">
        <f t="shared" si="37"/>
        <v>132097.51431472509</v>
      </c>
      <c r="H79" s="123">
        <f t="shared" si="37"/>
        <v>118878.22515658726</v>
      </c>
      <c r="I79" s="123">
        <f t="shared" si="37"/>
        <v>106994.21773159466</v>
      </c>
      <c r="J79" s="123">
        <f t="shared" si="37"/>
        <v>95739.700266513391</v>
      </c>
      <c r="K79" s="123">
        <f t="shared" si="37"/>
        <v>84466.107348101476</v>
      </c>
      <c r="L79" s="123">
        <f t="shared" si="37"/>
        <v>73211.589883020206</v>
      </c>
      <c r="M79" s="123">
        <f t="shared" si="37"/>
        <v>61937.99696460829</v>
      </c>
      <c r="N79" s="123">
        <f t="shared" si="37"/>
        <v>50683.47949952702</v>
      </c>
      <c r="O79" s="123">
        <f t="shared" si="37"/>
        <v>39409.886581115104</v>
      </c>
      <c r="P79" s="123">
        <f t="shared" si="37"/>
        <v>28155.369116033831</v>
      </c>
      <c r="Q79" s="123">
        <f t="shared" si="37"/>
        <v>16881.776197621912</v>
      </c>
      <c r="R79" s="123">
        <f t="shared" si="37"/>
        <v>5627.2587325406384</v>
      </c>
      <c r="S79" s="123">
        <f t="shared" si="37"/>
        <v>0</v>
      </c>
      <c r="T79" s="123">
        <f t="shared" si="37"/>
        <v>0</v>
      </c>
      <c r="U79" s="123">
        <f t="shared" si="37"/>
        <v>0</v>
      </c>
      <c r="V79" s="123">
        <f t="shared" si="37"/>
        <v>0</v>
      </c>
    </row>
    <row r="80" spans="1:22">
      <c r="A80" s="16" t="s">
        <v>106</v>
      </c>
      <c r="B80" s="302">
        <f t="shared" ref="B80:R80" si="38">VLOOKUP(B5,$Y$45:$Z$61,2)</f>
        <v>0</v>
      </c>
      <c r="C80" s="302">
        <f t="shared" si="38"/>
        <v>0.05</v>
      </c>
      <c r="D80" s="302">
        <f t="shared" si="38"/>
        <v>9.5000000000000001E-2</v>
      </c>
      <c r="E80" s="302">
        <f t="shared" si="38"/>
        <v>8.5500000000000007E-2</v>
      </c>
      <c r="F80" s="302">
        <f t="shared" si="38"/>
        <v>7.6999999999999999E-2</v>
      </c>
      <c r="G80" s="302">
        <f t="shared" si="38"/>
        <v>6.93E-2</v>
      </c>
      <c r="H80" s="302">
        <f t="shared" si="38"/>
        <v>6.2300000000000001E-2</v>
      </c>
      <c r="I80" s="302">
        <f t="shared" si="38"/>
        <v>5.8999999999999997E-2</v>
      </c>
      <c r="J80" s="302">
        <f t="shared" si="38"/>
        <v>5.91E-2</v>
      </c>
      <c r="K80" s="302">
        <f t="shared" si="38"/>
        <v>5.8999999999999997E-2</v>
      </c>
      <c r="L80" s="302">
        <f t="shared" si="38"/>
        <v>5.91E-2</v>
      </c>
      <c r="M80" s="302">
        <f t="shared" si="38"/>
        <v>5.8999999999999997E-2</v>
      </c>
      <c r="N80" s="302">
        <f t="shared" si="38"/>
        <v>5.91E-2</v>
      </c>
      <c r="O80" s="302">
        <f t="shared" si="38"/>
        <v>5.8999999999999997E-2</v>
      </c>
      <c r="P80" s="302">
        <f t="shared" si="38"/>
        <v>5.91E-2</v>
      </c>
      <c r="Q80" s="302">
        <f t="shared" si="38"/>
        <v>5.8999999999999997E-2</v>
      </c>
      <c r="R80" s="302">
        <f t="shared" si="38"/>
        <v>2.9499999999999998E-2</v>
      </c>
      <c r="S80" s="302">
        <v>0</v>
      </c>
      <c r="T80" s="302">
        <v>0</v>
      </c>
      <c r="U80" s="302">
        <v>0</v>
      </c>
      <c r="V80" s="302">
        <v>0</v>
      </c>
    </row>
    <row r="81" spans="1:22">
      <c r="A81" s="16" t="s">
        <v>108</v>
      </c>
      <c r="B81" s="198">
        <f>$B$79*B80</f>
        <v>0</v>
      </c>
      <c r="C81" s="198">
        <f t="shared" ref="C81:V81" si="39">$B$79*C80</f>
        <v>9537.7266653231127</v>
      </c>
      <c r="D81" s="198">
        <f t="shared" si="39"/>
        <v>18121.680664113916</v>
      </c>
      <c r="E81" s="198">
        <f t="shared" si="39"/>
        <v>16309.512597702524</v>
      </c>
      <c r="F81" s="198">
        <f t="shared" si="39"/>
        <v>14688.099064597593</v>
      </c>
      <c r="G81" s="198">
        <f t="shared" si="39"/>
        <v>13219.289158137834</v>
      </c>
      <c r="H81" s="198">
        <f t="shared" si="39"/>
        <v>11884.007424992598</v>
      </c>
      <c r="I81" s="198">
        <f t="shared" si="39"/>
        <v>11254.517465081273</v>
      </c>
      <c r="J81" s="198">
        <f t="shared" si="39"/>
        <v>11273.59291841192</v>
      </c>
      <c r="K81" s="198">
        <f t="shared" si="39"/>
        <v>11254.517465081273</v>
      </c>
      <c r="L81" s="198">
        <f t="shared" si="39"/>
        <v>11273.59291841192</v>
      </c>
      <c r="M81" s="198">
        <f t="shared" si="39"/>
        <v>11254.517465081273</v>
      </c>
      <c r="N81" s="198">
        <f t="shared" si="39"/>
        <v>11273.59291841192</v>
      </c>
      <c r="O81" s="198">
        <f t="shared" si="39"/>
        <v>11254.517465081273</v>
      </c>
      <c r="P81" s="198">
        <f t="shared" si="39"/>
        <v>11273.59291841192</v>
      </c>
      <c r="Q81" s="198">
        <f t="shared" si="39"/>
        <v>11254.517465081273</v>
      </c>
      <c r="R81" s="198">
        <f t="shared" si="39"/>
        <v>5627.2587325406366</v>
      </c>
      <c r="S81" s="198">
        <f t="shared" si="39"/>
        <v>0</v>
      </c>
      <c r="T81" s="198">
        <f t="shared" si="39"/>
        <v>0</v>
      </c>
      <c r="U81" s="198">
        <f t="shared" si="39"/>
        <v>0</v>
      </c>
      <c r="V81" s="198">
        <f t="shared" si="39"/>
        <v>0</v>
      </c>
    </row>
    <row r="82" spans="1:22">
      <c r="A82" s="16" t="s">
        <v>118</v>
      </c>
      <c r="B82" s="19">
        <f t="shared" ref="B82:V82" si="40">B79-B81</f>
        <v>190754.53330646225</v>
      </c>
      <c r="C82" s="19">
        <f t="shared" si="40"/>
        <v>181216.80664113915</v>
      </c>
      <c r="D82" s="19">
        <f t="shared" si="40"/>
        <v>163095.12597702522</v>
      </c>
      <c r="E82" s="19">
        <f t="shared" si="40"/>
        <v>146785.61337932269</v>
      </c>
      <c r="F82" s="19">
        <f t="shared" si="40"/>
        <v>132097.51431472509</v>
      </c>
      <c r="G82" s="19">
        <f t="shared" si="40"/>
        <v>118878.22515658726</v>
      </c>
      <c r="H82" s="19">
        <f t="shared" si="40"/>
        <v>106994.21773159466</v>
      </c>
      <c r="I82" s="19">
        <f t="shared" si="40"/>
        <v>95739.700266513391</v>
      </c>
      <c r="J82" s="19">
        <f t="shared" si="40"/>
        <v>84466.107348101476</v>
      </c>
      <c r="K82" s="19">
        <f t="shared" si="40"/>
        <v>73211.589883020206</v>
      </c>
      <c r="L82" s="19">
        <f t="shared" si="40"/>
        <v>61937.99696460829</v>
      </c>
      <c r="M82" s="19">
        <f t="shared" si="40"/>
        <v>50683.47949952702</v>
      </c>
      <c r="N82" s="19">
        <f t="shared" si="40"/>
        <v>39409.886581115104</v>
      </c>
      <c r="O82" s="19">
        <f t="shared" si="40"/>
        <v>28155.369116033831</v>
      </c>
      <c r="P82" s="19">
        <f t="shared" si="40"/>
        <v>16881.776197621912</v>
      </c>
      <c r="Q82" s="19">
        <f t="shared" si="40"/>
        <v>5627.2587325406384</v>
      </c>
      <c r="R82" s="19">
        <f t="shared" si="40"/>
        <v>0</v>
      </c>
      <c r="S82" s="19">
        <f t="shared" si="40"/>
        <v>0</v>
      </c>
      <c r="T82" s="19">
        <f t="shared" si="40"/>
        <v>0</v>
      </c>
      <c r="U82" s="19">
        <f t="shared" si="40"/>
        <v>0</v>
      </c>
      <c r="V82" s="19">
        <f t="shared" si="40"/>
        <v>0</v>
      </c>
    </row>
    <row r="84" spans="1:22">
      <c r="A84" s="236" t="s">
        <v>103</v>
      </c>
    </row>
    <row r="85" spans="1:22">
      <c r="A85" s="16" t="s">
        <v>119</v>
      </c>
      <c r="B85" s="123">
        <f>SUM('Summary Output'!$G$8:$G$9)*Allocation!$C$12</f>
        <v>224013.58995772409</v>
      </c>
      <c r="C85" s="123">
        <f t="shared" ref="C85:V85" si="41">B88</f>
        <v>224013.58995772409</v>
      </c>
      <c r="D85" s="123">
        <f t="shared" si="41"/>
        <v>212812.91045983788</v>
      </c>
      <c r="E85" s="123">
        <f t="shared" si="41"/>
        <v>191531.61941385409</v>
      </c>
      <c r="F85" s="123">
        <f t="shared" si="41"/>
        <v>172378.45747246867</v>
      </c>
      <c r="G85" s="123">
        <f t="shared" si="41"/>
        <v>155129.41104572391</v>
      </c>
      <c r="H85" s="123">
        <f t="shared" si="41"/>
        <v>139605.26926165362</v>
      </c>
      <c r="I85" s="123">
        <f t="shared" si="41"/>
        <v>125649.2226072874</v>
      </c>
      <c r="J85" s="123">
        <f t="shared" si="41"/>
        <v>112432.42079978168</v>
      </c>
      <c r="K85" s="123">
        <f t="shared" si="41"/>
        <v>99193.21763328019</v>
      </c>
      <c r="L85" s="123">
        <f t="shared" si="41"/>
        <v>85976.415825774471</v>
      </c>
      <c r="M85" s="123">
        <f t="shared" si="41"/>
        <v>72737.212659272976</v>
      </c>
      <c r="N85" s="123">
        <f t="shared" si="41"/>
        <v>59520.410851767258</v>
      </c>
      <c r="O85" s="123">
        <f t="shared" si="41"/>
        <v>46281.207685265763</v>
      </c>
      <c r="P85" s="123">
        <f t="shared" si="41"/>
        <v>33064.405877760044</v>
      </c>
      <c r="Q85" s="123">
        <f t="shared" si="41"/>
        <v>19825.202711258549</v>
      </c>
      <c r="R85" s="123">
        <f t="shared" si="41"/>
        <v>6608.4009037528285</v>
      </c>
      <c r="S85" s="123">
        <f t="shared" si="41"/>
        <v>-3.1832314562052488E-11</v>
      </c>
      <c r="T85" s="123">
        <f t="shared" si="41"/>
        <v>-3.1832314562052488E-11</v>
      </c>
      <c r="U85" s="123">
        <f t="shared" si="41"/>
        <v>-3.1832314562052488E-11</v>
      </c>
      <c r="V85" s="123">
        <f t="shared" si="41"/>
        <v>-3.1832314562052488E-11</v>
      </c>
    </row>
    <row r="86" spans="1:22">
      <c r="A86" s="16" t="s">
        <v>106</v>
      </c>
      <c r="B86" s="302">
        <f t="shared" ref="B86:R86" si="42">VLOOKUP(B6,$Y$45:$Z$61,2)</f>
        <v>0</v>
      </c>
      <c r="C86" s="302">
        <f t="shared" si="42"/>
        <v>0.05</v>
      </c>
      <c r="D86" s="302">
        <f t="shared" si="42"/>
        <v>9.5000000000000001E-2</v>
      </c>
      <c r="E86" s="302">
        <f t="shared" si="42"/>
        <v>8.5500000000000007E-2</v>
      </c>
      <c r="F86" s="302">
        <f t="shared" si="42"/>
        <v>7.6999999999999999E-2</v>
      </c>
      <c r="G86" s="302">
        <f t="shared" si="42"/>
        <v>6.93E-2</v>
      </c>
      <c r="H86" s="302">
        <f t="shared" si="42"/>
        <v>6.2300000000000001E-2</v>
      </c>
      <c r="I86" s="302">
        <f t="shared" si="42"/>
        <v>5.8999999999999997E-2</v>
      </c>
      <c r="J86" s="302">
        <f t="shared" si="42"/>
        <v>5.91E-2</v>
      </c>
      <c r="K86" s="302">
        <f t="shared" si="42"/>
        <v>5.8999999999999997E-2</v>
      </c>
      <c r="L86" s="302">
        <f t="shared" si="42"/>
        <v>5.91E-2</v>
      </c>
      <c r="M86" s="302">
        <f t="shared" si="42"/>
        <v>5.8999999999999997E-2</v>
      </c>
      <c r="N86" s="302">
        <f t="shared" si="42"/>
        <v>5.91E-2</v>
      </c>
      <c r="O86" s="302">
        <f t="shared" si="42"/>
        <v>5.8999999999999997E-2</v>
      </c>
      <c r="P86" s="302">
        <f t="shared" si="42"/>
        <v>5.91E-2</v>
      </c>
      <c r="Q86" s="302">
        <f t="shared" si="42"/>
        <v>5.8999999999999997E-2</v>
      </c>
      <c r="R86" s="302">
        <f t="shared" si="42"/>
        <v>2.9499999999999998E-2</v>
      </c>
      <c r="S86" s="302">
        <v>0</v>
      </c>
      <c r="T86" s="302">
        <v>0</v>
      </c>
      <c r="U86" s="302">
        <v>0</v>
      </c>
      <c r="V86" s="302">
        <v>0</v>
      </c>
    </row>
    <row r="87" spans="1:22">
      <c r="A87" s="16" t="s">
        <v>108</v>
      </c>
      <c r="B87" s="198">
        <f>$B$85*B86</f>
        <v>0</v>
      </c>
      <c r="C87" s="198">
        <f t="shared" ref="C87:V87" si="43">$B$85*C86</f>
        <v>11200.679497886205</v>
      </c>
      <c r="D87" s="198">
        <f t="shared" si="43"/>
        <v>21281.291045983788</v>
      </c>
      <c r="E87" s="198">
        <f t="shared" si="43"/>
        <v>19153.16194138541</v>
      </c>
      <c r="F87" s="198">
        <f t="shared" si="43"/>
        <v>17249.046426744753</v>
      </c>
      <c r="G87" s="198">
        <f t="shared" si="43"/>
        <v>15524.14178407028</v>
      </c>
      <c r="H87" s="198">
        <f t="shared" si="43"/>
        <v>13956.046654366211</v>
      </c>
      <c r="I87" s="198">
        <f t="shared" si="43"/>
        <v>13216.801807505721</v>
      </c>
      <c r="J87" s="198">
        <f t="shared" si="43"/>
        <v>13239.203166501495</v>
      </c>
      <c r="K87" s="198">
        <f t="shared" si="43"/>
        <v>13216.801807505721</v>
      </c>
      <c r="L87" s="198">
        <f t="shared" si="43"/>
        <v>13239.203166501495</v>
      </c>
      <c r="M87" s="198">
        <f t="shared" si="43"/>
        <v>13216.801807505721</v>
      </c>
      <c r="N87" s="198">
        <f t="shared" si="43"/>
        <v>13239.203166501495</v>
      </c>
      <c r="O87" s="198">
        <f t="shared" si="43"/>
        <v>13216.801807505721</v>
      </c>
      <c r="P87" s="198">
        <f t="shared" si="43"/>
        <v>13239.203166501495</v>
      </c>
      <c r="Q87" s="198">
        <f t="shared" si="43"/>
        <v>13216.801807505721</v>
      </c>
      <c r="R87" s="198">
        <f t="shared" si="43"/>
        <v>6608.4009037528604</v>
      </c>
      <c r="S87" s="198">
        <f t="shared" si="43"/>
        <v>0</v>
      </c>
      <c r="T87" s="198">
        <f t="shared" si="43"/>
        <v>0</v>
      </c>
      <c r="U87" s="198">
        <f t="shared" si="43"/>
        <v>0</v>
      </c>
      <c r="V87" s="198">
        <f t="shared" si="43"/>
        <v>0</v>
      </c>
    </row>
    <row r="88" spans="1:22">
      <c r="A88" s="16" t="s">
        <v>118</v>
      </c>
      <c r="B88" s="19">
        <f t="shared" ref="B88:V88" si="44">B85-B87</f>
        <v>224013.58995772409</v>
      </c>
      <c r="C88" s="19">
        <f t="shared" si="44"/>
        <v>212812.91045983788</v>
      </c>
      <c r="D88" s="19">
        <f t="shared" si="44"/>
        <v>191531.61941385409</v>
      </c>
      <c r="E88" s="19">
        <f t="shared" si="44"/>
        <v>172378.45747246867</v>
      </c>
      <c r="F88" s="19">
        <f t="shared" si="44"/>
        <v>155129.41104572391</v>
      </c>
      <c r="G88" s="19">
        <f t="shared" si="44"/>
        <v>139605.26926165362</v>
      </c>
      <c r="H88" s="19">
        <f t="shared" si="44"/>
        <v>125649.2226072874</v>
      </c>
      <c r="I88" s="19">
        <f t="shared" si="44"/>
        <v>112432.42079978168</v>
      </c>
      <c r="J88" s="19">
        <f t="shared" si="44"/>
        <v>99193.21763328019</v>
      </c>
      <c r="K88" s="19">
        <f t="shared" si="44"/>
        <v>85976.415825774471</v>
      </c>
      <c r="L88" s="19">
        <f t="shared" si="44"/>
        <v>72737.212659272976</v>
      </c>
      <c r="M88" s="19">
        <f t="shared" si="44"/>
        <v>59520.410851767258</v>
      </c>
      <c r="N88" s="19">
        <f t="shared" si="44"/>
        <v>46281.207685265763</v>
      </c>
      <c r="O88" s="19">
        <f t="shared" si="44"/>
        <v>33064.405877760044</v>
      </c>
      <c r="P88" s="19">
        <f t="shared" si="44"/>
        <v>19825.202711258549</v>
      </c>
      <c r="Q88" s="19">
        <f t="shared" si="44"/>
        <v>6608.4009037528285</v>
      </c>
      <c r="R88" s="19">
        <f t="shared" si="44"/>
        <v>-3.1832314562052488E-11</v>
      </c>
      <c r="S88" s="19">
        <f t="shared" si="44"/>
        <v>-3.1832314562052488E-11</v>
      </c>
      <c r="T88" s="19">
        <f t="shared" si="44"/>
        <v>-3.1832314562052488E-11</v>
      </c>
      <c r="U88" s="19">
        <f t="shared" si="44"/>
        <v>-3.1832314562052488E-11</v>
      </c>
      <c r="V88" s="19">
        <f t="shared" si="44"/>
        <v>-3.1832314562052488E-11</v>
      </c>
    </row>
    <row r="90" spans="1:22">
      <c r="A90" s="236" t="s">
        <v>12</v>
      </c>
    </row>
    <row r="91" spans="1:22">
      <c r="A91" s="16" t="s">
        <v>119</v>
      </c>
      <c r="B91" s="123">
        <f>SUM('Summary Output'!$G$8:$G$9)*Allocation!$C$13</f>
        <v>204914.46376556004</v>
      </c>
      <c r="C91" s="123">
        <f t="shared" ref="C91:V91" si="45">B94</f>
        <v>204914.46376556004</v>
      </c>
      <c r="D91" s="123">
        <f t="shared" si="45"/>
        <v>194668.74057728203</v>
      </c>
      <c r="E91" s="123">
        <f t="shared" si="45"/>
        <v>175201.86651955382</v>
      </c>
      <c r="F91" s="123">
        <f t="shared" si="45"/>
        <v>157681.67986759843</v>
      </c>
      <c r="G91" s="123">
        <f t="shared" si="45"/>
        <v>141903.2661576503</v>
      </c>
      <c r="H91" s="123">
        <f t="shared" si="45"/>
        <v>127702.69381869699</v>
      </c>
      <c r="I91" s="123">
        <f t="shared" si="45"/>
        <v>114936.5227261026</v>
      </c>
      <c r="J91" s="123">
        <f t="shared" si="45"/>
        <v>102846.56936393456</v>
      </c>
      <c r="K91" s="123">
        <f t="shared" si="45"/>
        <v>90736.12455538995</v>
      </c>
      <c r="L91" s="123">
        <f t="shared" si="45"/>
        <v>78646.171193221904</v>
      </c>
      <c r="M91" s="123">
        <f t="shared" si="45"/>
        <v>66535.726384677313</v>
      </c>
      <c r="N91" s="123">
        <f t="shared" si="45"/>
        <v>54445.773022509267</v>
      </c>
      <c r="O91" s="123">
        <f t="shared" si="45"/>
        <v>42335.328213964669</v>
      </c>
      <c r="P91" s="123">
        <f t="shared" si="45"/>
        <v>30245.374851796627</v>
      </c>
      <c r="Q91" s="123">
        <f t="shared" si="45"/>
        <v>18134.930043252029</v>
      </c>
      <c r="R91" s="123">
        <f t="shared" si="45"/>
        <v>6044.9766810839865</v>
      </c>
      <c r="S91" s="123">
        <f t="shared" si="45"/>
        <v>-3.4560798667371273E-11</v>
      </c>
      <c r="T91" s="123">
        <f t="shared" si="45"/>
        <v>-3.4560798667371273E-11</v>
      </c>
      <c r="U91" s="123">
        <f t="shared" si="45"/>
        <v>-3.4560798667371273E-11</v>
      </c>
      <c r="V91" s="123">
        <f t="shared" si="45"/>
        <v>-3.4560798667371273E-11</v>
      </c>
    </row>
    <row r="92" spans="1:22">
      <c r="A92" s="16" t="s">
        <v>106</v>
      </c>
      <c r="B92" s="302">
        <f t="shared" ref="B92:R92" si="46">VLOOKUP(B6,$Y$45:$Z$61,2)</f>
        <v>0</v>
      </c>
      <c r="C92" s="302">
        <f t="shared" si="46"/>
        <v>0.05</v>
      </c>
      <c r="D92" s="302">
        <f t="shared" si="46"/>
        <v>9.5000000000000001E-2</v>
      </c>
      <c r="E92" s="302">
        <f t="shared" si="46"/>
        <v>8.5500000000000007E-2</v>
      </c>
      <c r="F92" s="302">
        <f t="shared" si="46"/>
        <v>7.6999999999999999E-2</v>
      </c>
      <c r="G92" s="302">
        <f t="shared" si="46"/>
        <v>6.93E-2</v>
      </c>
      <c r="H92" s="302">
        <f t="shared" si="46"/>
        <v>6.2300000000000001E-2</v>
      </c>
      <c r="I92" s="302">
        <f t="shared" si="46"/>
        <v>5.8999999999999997E-2</v>
      </c>
      <c r="J92" s="302">
        <f t="shared" si="46"/>
        <v>5.91E-2</v>
      </c>
      <c r="K92" s="302">
        <f t="shared" si="46"/>
        <v>5.8999999999999997E-2</v>
      </c>
      <c r="L92" s="302">
        <f t="shared" si="46"/>
        <v>5.91E-2</v>
      </c>
      <c r="M92" s="302">
        <f t="shared" si="46"/>
        <v>5.8999999999999997E-2</v>
      </c>
      <c r="N92" s="302">
        <f t="shared" si="46"/>
        <v>5.91E-2</v>
      </c>
      <c r="O92" s="302">
        <f t="shared" si="46"/>
        <v>5.8999999999999997E-2</v>
      </c>
      <c r="P92" s="302">
        <f t="shared" si="46"/>
        <v>5.91E-2</v>
      </c>
      <c r="Q92" s="302">
        <f t="shared" si="46"/>
        <v>5.8999999999999997E-2</v>
      </c>
      <c r="R92" s="302">
        <f t="shared" si="46"/>
        <v>2.9499999999999998E-2</v>
      </c>
      <c r="S92" s="302">
        <v>0</v>
      </c>
      <c r="T92" s="302">
        <v>0</v>
      </c>
      <c r="U92" s="302">
        <v>0</v>
      </c>
      <c r="V92" s="302">
        <v>0</v>
      </c>
    </row>
    <row r="93" spans="1:22">
      <c r="A93" s="16" t="s">
        <v>108</v>
      </c>
      <c r="B93" s="198">
        <f>$B$91*B92</f>
        <v>0</v>
      </c>
      <c r="C93" s="198">
        <f t="shared" ref="C93:V93" si="47">$B$91*C92</f>
        <v>10245.723188278003</v>
      </c>
      <c r="D93" s="198">
        <f t="shared" si="47"/>
        <v>19466.874057728204</v>
      </c>
      <c r="E93" s="198">
        <f t="shared" si="47"/>
        <v>17520.186651955384</v>
      </c>
      <c r="F93" s="198">
        <f t="shared" si="47"/>
        <v>15778.413709948123</v>
      </c>
      <c r="G93" s="198">
        <f t="shared" si="47"/>
        <v>14200.57233895331</v>
      </c>
      <c r="H93" s="198">
        <f t="shared" si="47"/>
        <v>12766.17109259439</v>
      </c>
      <c r="I93" s="198">
        <f t="shared" si="47"/>
        <v>12089.953362168042</v>
      </c>
      <c r="J93" s="198">
        <f t="shared" si="47"/>
        <v>12110.444808544598</v>
      </c>
      <c r="K93" s="198">
        <f t="shared" si="47"/>
        <v>12089.953362168042</v>
      </c>
      <c r="L93" s="198">
        <f t="shared" si="47"/>
        <v>12110.444808544598</v>
      </c>
      <c r="M93" s="198">
        <f t="shared" si="47"/>
        <v>12089.953362168042</v>
      </c>
      <c r="N93" s="198">
        <f t="shared" si="47"/>
        <v>12110.444808544598</v>
      </c>
      <c r="O93" s="198">
        <f t="shared" si="47"/>
        <v>12089.953362168042</v>
      </c>
      <c r="P93" s="198">
        <f t="shared" si="47"/>
        <v>12110.444808544598</v>
      </c>
      <c r="Q93" s="198">
        <f t="shared" si="47"/>
        <v>12089.953362168042</v>
      </c>
      <c r="R93" s="198">
        <f t="shared" si="47"/>
        <v>6044.976681084021</v>
      </c>
      <c r="S93" s="198">
        <f t="shared" si="47"/>
        <v>0</v>
      </c>
      <c r="T93" s="198">
        <f t="shared" si="47"/>
        <v>0</v>
      </c>
      <c r="U93" s="198">
        <f t="shared" si="47"/>
        <v>0</v>
      </c>
      <c r="V93" s="198">
        <f t="shared" si="47"/>
        <v>0</v>
      </c>
    </row>
    <row r="94" spans="1:22">
      <c r="A94" s="16" t="s">
        <v>118</v>
      </c>
      <c r="B94" s="19">
        <f t="shared" ref="B94:V94" si="48">B91-B93</f>
        <v>204914.46376556004</v>
      </c>
      <c r="C94" s="19">
        <f t="shared" si="48"/>
        <v>194668.74057728203</v>
      </c>
      <c r="D94" s="19">
        <f t="shared" si="48"/>
        <v>175201.86651955382</v>
      </c>
      <c r="E94" s="19">
        <f t="shared" si="48"/>
        <v>157681.67986759843</v>
      </c>
      <c r="F94" s="19">
        <f t="shared" si="48"/>
        <v>141903.2661576503</v>
      </c>
      <c r="G94" s="19">
        <f t="shared" si="48"/>
        <v>127702.69381869699</v>
      </c>
      <c r="H94" s="19">
        <f t="shared" si="48"/>
        <v>114936.5227261026</v>
      </c>
      <c r="I94" s="19">
        <f t="shared" si="48"/>
        <v>102846.56936393456</v>
      </c>
      <c r="J94" s="19">
        <f t="shared" si="48"/>
        <v>90736.12455538995</v>
      </c>
      <c r="K94" s="19">
        <f t="shared" si="48"/>
        <v>78646.171193221904</v>
      </c>
      <c r="L94" s="19">
        <f t="shared" si="48"/>
        <v>66535.726384677313</v>
      </c>
      <c r="M94" s="19">
        <f t="shared" si="48"/>
        <v>54445.773022509267</v>
      </c>
      <c r="N94" s="19">
        <f t="shared" si="48"/>
        <v>42335.328213964669</v>
      </c>
      <c r="O94" s="19">
        <f t="shared" si="48"/>
        <v>30245.374851796627</v>
      </c>
      <c r="P94" s="19">
        <f t="shared" si="48"/>
        <v>18134.930043252029</v>
      </c>
      <c r="Q94" s="19">
        <f t="shared" si="48"/>
        <v>6044.9766810839865</v>
      </c>
      <c r="R94" s="19">
        <f t="shared" si="48"/>
        <v>-3.4560798667371273E-11</v>
      </c>
      <c r="S94" s="19">
        <f t="shared" si="48"/>
        <v>-3.4560798667371273E-11</v>
      </c>
      <c r="T94" s="19">
        <f t="shared" si="48"/>
        <v>-3.4560798667371273E-11</v>
      </c>
      <c r="U94" s="19">
        <f t="shared" si="48"/>
        <v>-3.4560798667371273E-11</v>
      </c>
      <c r="V94" s="19">
        <f t="shared" si="48"/>
        <v>-3.4560798667371273E-11</v>
      </c>
    </row>
    <row r="96" spans="1:22">
      <c r="A96" s="236" t="s">
        <v>13</v>
      </c>
    </row>
    <row r="97" spans="1:22">
      <c r="A97" s="16" t="s">
        <v>119</v>
      </c>
      <c r="B97" s="123">
        <f>SUM('Summary Output'!$G$8:$G$9)*Allocation!$C$14</f>
        <v>329912.88820495975</v>
      </c>
      <c r="C97" s="19">
        <f t="shared" ref="C97:V97" si="49">B100</f>
        <v>329912.88820495975</v>
      </c>
      <c r="D97" s="19">
        <f t="shared" si="49"/>
        <v>313417.24379471177</v>
      </c>
      <c r="E97" s="19">
        <f t="shared" si="49"/>
        <v>282075.51941524062</v>
      </c>
      <c r="F97" s="19">
        <f t="shared" si="49"/>
        <v>253867.96747371656</v>
      </c>
      <c r="G97" s="19">
        <f t="shared" si="49"/>
        <v>228464.67508193466</v>
      </c>
      <c r="H97" s="19">
        <f t="shared" si="49"/>
        <v>205601.71192933095</v>
      </c>
      <c r="I97" s="19">
        <f t="shared" si="49"/>
        <v>185048.13899416197</v>
      </c>
      <c r="J97" s="19">
        <f t="shared" si="49"/>
        <v>165583.27859006936</v>
      </c>
      <c r="K97" s="19">
        <f t="shared" si="49"/>
        <v>146085.42689715623</v>
      </c>
      <c r="L97" s="19">
        <f t="shared" si="49"/>
        <v>126620.5664930636</v>
      </c>
      <c r="M97" s="19">
        <f t="shared" si="49"/>
        <v>107122.71480015048</v>
      </c>
      <c r="N97" s="19">
        <f t="shared" si="49"/>
        <v>87657.854396057854</v>
      </c>
      <c r="O97" s="19">
        <f t="shared" si="49"/>
        <v>68160.002703144739</v>
      </c>
      <c r="P97" s="19">
        <f t="shared" si="49"/>
        <v>48695.14229905211</v>
      </c>
      <c r="Q97" s="19">
        <f t="shared" si="49"/>
        <v>29197.290606138988</v>
      </c>
      <c r="R97" s="19">
        <f t="shared" si="49"/>
        <v>9732.430202046362</v>
      </c>
      <c r="S97" s="19">
        <f t="shared" si="49"/>
        <v>4.9112713895738125E-11</v>
      </c>
      <c r="T97" s="19">
        <f t="shared" si="49"/>
        <v>4.9112713895738125E-11</v>
      </c>
      <c r="U97" s="19">
        <f t="shared" si="49"/>
        <v>4.9112713895738125E-11</v>
      </c>
      <c r="V97" s="19">
        <f t="shared" si="49"/>
        <v>4.9112713895738125E-11</v>
      </c>
    </row>
    <row r="98" spans="1:22">
      <c r="A98" s="16" t="s">
        <v>106</v>
      </c>
      <c r="B98" s="302">
        <f t="shared" ref="B98:R98" si="50">VLOOKUP(B6,$Y$45:$Z$61,2)</f>
        <v>0</v>
      </c>
      <c r="C98" s="302">
        <f t="shared" si="50"/>
        <v>0.05</v>
      </c>
      <c r="D98" s="302">
        <f t="shared" si="50"/>
        <v>9.5000000000000001E-2</v>
      </c>
      <c r="E98" s="302">
        <f t="shared" si="50"/>
        <v>8.5500000000000007E-2</v>
      </c>
      <c r="F98" s="302">
        <f t="shared" si="50"/>
        <v>7.6999999999999999E-2</v>
      </c>
      <c r="G98" s="302">
        <f t="shared" si="50"/>
        <v>6.93E-2</v>
      </c>
      <c r="H98" s="302">
        <f t="shared" si="50"/>
        <v>6.2300000000000001E-2</v>
      </c>
      <c r="I98" s="302">
        <f t="shared" si="50"/>
        <v>5.8999999999999997E-2</v>
      </c>
      <c r="J98" s="302">
        <f t="shared" si="50"/>
        <v>5.91E-2</v>
      </c>
      <c r="K98" s="302">
        <f t="shared" si="50"/>
        <v>5.8999999999999997E-2</v>
      </c>
      <c r="L98" s="302">
        <f t="shared" si="50"/>
        <v>5.91E-2</v>
      </c>
      <c r="M98" s="302">
        <f t="shared" si="50"/>
        <v>5.8999999999999997E-2</v>
      </c>
      <c r="N98" s="302">
        <f t="shared" si="50"/>
        <v>5.91E-2</v>
      </c>
      <c r="O98" s="302">
        <f t="shared" si="50"/>
        <v>5.8999999999999997E-2</v>
      </c>
      <c r="P98" s="302">
        <f t="shared" si="50"/>
        <v>5.91E-2</v>
      </c>
      <c r="Q98" s="302">
        <f t="shared" si="50"/>
        <v>5.8999999999999997E-2</v>
      </c>
      <c r="R98" s="302">
        <f t="shared" si="50"/>
        <v>2.9499999999999998E-2</v>
      </c>
      <c r="S98" s="302">
        <v>0</v>
      </c>
      <c r="T98" s="302">
        <v>0</v>
      </c>
      <c r="U98" s="302">
        <v>0</v>
      </c>
      <c r="V98" s="302">
        <v>0</v>
      </c>
    </row>
    <row r="99" spans="1:22">
      <c r="A99" s="16" t="s">
        <v>108</v>
      </c>
      <c r="B99" s="198">
        <f>$B$97*B98</f>
        <v>0</v>
      </c>
      <c r="C99" s="198">
        <f t="shared" ref="C99:V99" si="51">$B$97*C98</f>
        <v>16495.644410247987</v>
      </c>
      <c r="D99" s="198">
        <f t="shared" si="51"/>
        <v>31341.724379471176</v>
      </c>
      <c r="E99" s="198">
        <f t="shared" si="51"/>
        <v>28207.55194152406</v>
      </c>
      <c r="F99" s="198">
        <f t="shared" si="51"/>
        <v>25403.292391781899</v>
      </c>
      <c r="G99" s="198">
        <f t="shared" si="51"/>
        <v>22862.963152603712</v>
      </c>
      <c r="H99" s="198">
        <f t="shared" si="51"/>
        <v>20553.572935168992</v>
      </c>
      <c r="I99" s="198">
        <f t="shared" si="51"/>
        <v>19464.860404092626</v>
      </c>
      <c r="J99" s="198">
        <f t="shared" si="51"/>
        <v>19497.851692913122</v>
      </c>
      <c r="K99" s="198">
        <f t="shared" si="51"/>
        <v>19464.860404092626</v>
      </c>
      <c r="L99" s="198">
        <f t="shared" si="51"/>
        <v>19497.851692913122</v>
      </c>
      <c r="M99" s="198">
        <f t="shared" si="51"/>
        <v>19464.860404092626</v>
      </c>
      <c r="N99" s="198">
        <f t="shared" si="51"/>
        <v>19497.851692913122</v>
      </c>
      <c r="O99" s="198">
        <f t="shared" si="51"/>
        <v>19464.860404092626</v>
      </c>
      <c r="P99" s="198">
        <f t="shared" si="51"/>
        <v>19497.851692913122</v>
      </c>
      <c r="Q99" s="198">
        <f t="shared" si="51"/>
        <v>19464.860404092626</v>
      </c>
      <c r="R99" s="198">
        <f t="shared" si="51"/>
        <v>9732.4302020463128</v>
      </c>
      <c r="S99" s="198">
        <f t="shared" si="51"/>
        <v>0</v>
      </c>
      <c r="T99" s="198">
        <f t="shared" si="51"/>
        <v>0</v>
      </c>
      <c r="U99" s="198">
        <f t="shared" si="51"/>
        <v>0</v>
      </c>
      <c r="V99" s="198">
        <f t="shared" si="51"/>
        <v>0</v>
      </c>
    </row>
    <row r="100" spans="1:22">
      <c r="A100" s="16" t="s">
        <v>118</v>
      </c>
      <c r="B100" s="19">
        <f t="shared" ref="B100:V100" si="52">B97-B99</f>
        <v>329912.88820495975</v>
      </c>
      <c r="C100" s="19">
        <f t="shared" si="52"/>
        <v>313417.24379471177</v>
      </c>
      <c r="D100" s="19">
        <f t="shared" si="52"/>
        <v>282075.51941524062</v>
      </c>
      <c r="E100" s="19">
        <f t="shared" si="52"/>
        <v>253867.96747371656</v>
      </c>
      <c r="F100" s="19">
        <f t="shared" si="52"/>
        <v>228464.67508193466</v>
      </c>
      <c r="G100" s="19">
        <f t="shared" si="52"/>
        <v>205601.71192933095</v>
      </c>
      <c r="H100" s="19">
        <f t="shared" si="52"/>
        <v>185048.13899416197</v>
      </c>
      <c r="I100" s="19">
        <f t="shared" si="52"/>
        <v>165583.27859006936</v>
      </c>
      <c r="J100" s="19">
        <f t="shared" si="52"/>
        <v>146085.42689715623</v>
      </c>
      <c r="K100" s="19">
        <f t="shared" si="52"/>
        <v>126620.5664930636</v>
      </c>
      <c r="L100" s="19">
        <f t="shared" si="52"/>
        <v>107122.71480015048</v>
      </c>
      <c r="M100" s="19">
        <f t="shared" si="52"/>
        <v>87657.854396057854</v>
      </c>
      <c r="N100" s="19">
        <f t="shared" si="52"/>
        <v>68160.002703144739</v>
      </c>
      <c r="O100" s="19">
        <f t="shared" si="52"/>
        <v>48695.14229905211</v>
      </c>
      <c r="P100" s="19">
        <f t="shared" si="52"/>
        <v>29197.290606138988</v>
      </c>
      <c r="Q100" s="19">
        <f t="shared" si="52"/>
        <v>9732.430202046362</v>
      </c>
      <c r="R100" s="19">
        <f t="shared" si="52"/>
        <v>4.9112713895738125E-11</v>
      </c>
      <c r="S100" s="19">
        <f t="shared" si="52"/>
        <v>4.9112713895738125E-11</v>
      </c>
      <c r="T100" s="19">
        <f t="shared" si="52"/>
        <v>4.9112713895738125E-11</v>
      </c>
      <c r="U100" s="19">
        <f t="shared" si="52"/>
        <v>4.9112713895738125E-11</v>
      </c>
      <c r="V100" s="19">
        <f t="shared" si="52"/>
        <v>4.9112713895738125E-11</v>
      </c>
    </row>
    <row r="102" spans="1:22">
      <c r="A102" s="236" t="s">
        <v>110</v>
      </c>
    </row>
    <row r="103" spans="1:22">
      <c r="A103" s="16" t="s">
        <v>119</v>
      </c>
      <c r="B103" s="19">
        <f>SUM(B67,B73,B79,B85,B91,B97)</f>
        <v>1311999.9999999998</v>
      </c>
      <c r="C103" s="19">
        <f>B105</f>
        <v>1311999.9999999998</v>
      </c>
      <c r="D103" s="19">
        <f t="shared" ref="D103:V103" si="53">C105</f>
        <v>1246399.9999999998</v>
      </c>
      <c r="E103" s="19">
        <f t="shared" si="53"/>
        <v>1121759.9999999998</v>
      </c>
      <c r="F103" s="19">
        <f t="shared" si="53"/>
        <v>1009583.9999999998</v>
      </c>
      <c r="G103" s="19">
        <f t="shared" si="53"/>
        <v>908559.99999999977</v>
      </c>
      <c r="H103" s="19">
        <f t="shared" si="53"/>
        <v>817638.39999999979</v>
      </c>
      <c r="I103" s="19">
        <f t="shared" si="53"/>
        <v>735900.79999999981</v>
      </c>
      <c r="J103" s="19">
        <f t="shared" si="53"/>
        <v>658492.79999999981</v>
      </c>
      <c r="K103" s="19">
        <f t="shared" si="53"/>
        <v>580953.59999999986</v>
      </c>
      <c r="L103" s="19">
        <f t="shared" si="53"/>
        <v>503545.59999999986</v>
      </c>
      <c r="M103" s="19">
        <f t="shared" si="53"/>
        <v>426006.39999999985</v>
      </c>
      <c r="N103" s="19">
        <f t="shared" si="53"/>
        <v>348598.39999999985</v>
      </c>
      <c r="O103" s="19">
        <f t="shared" si="53"/>
        <v>271059.19999999984</v>
      </c>
      <c r="P103" s="19">
        <f t="shared" si="53"/>
        <v>193651.19999999984</v>
      </c>
      <c r="Q103" s="19">
        <f t="shared" si="53"/>
        <v>116111.99999999984</v>
      </c>
      <c r="R103" s="19">
        <f t="shared" si="53"/>
        <v>38703.999999999854</v>
      </c>
      <c r="S103" s="19">
        <f t="shared" si="53"/>
        <v>-1.3824319466948509E-10</v>
      </c>
      <c r="T103" s="19">
        <f t="shared" si="53"/>
        <v>-1.3824319466948509E-10</v>
      </c>
      <c r="U103" s="19">
        <f t="shared" si="53"/>
        <v>-1.3824319466948509E-10</v>
      </c>
      <c r="V103" s="19">
        <f t="shared" si="53"/>
        <v>-1.3824319466948509E-10</v>
      </c>
    </row>
    <row r="104" spans="1:22">
      <c r="A104" s="16" t="s">
        <v>108</v>
      </c>
      <c r="B104" s="198">
        <f>SUM(B69,B75,B81,B87,B93,B99)</f>
        <v>0</v>
      </c>
      <c r="C104" s="198">
        <f t="shared" ref="C104:V104" si="54">SUM(C69,C75,C81,C87,C93,C99)</f>
        <v>65600</v>
      </c>
      <c r="D104" s="198">
        <f t="shared" si="54"/>
        <v>124639.99999999997</v>
      </c>
      <c r="E104" s="198">
        <f t="shared" si="54"/>
        <v>112175.99999999999</v>
      </c>
      <c r="F104" s="198">
        <f t="shared" si="54"/>
        <v>101023.99999999997</v>
      </c>
      <c r="G104" s="198">
        <f t="shared" si="54"/>
        <v>90921.599999999991</v>
      </c>
      <c r="H104" s="198">
        <f t="shared" si="54"/>
        <v>81737.599999999991</v>
      </c>
      <c r="I104" s="198">
        <f t="shared" si="54"/>
        <v>77407.999999999985</v>
      </c>
      <c r="J104" s="198">
        <f t="shared" si="54"/>
        <v>77539.199999999997</v>
      </c>
      <c r="K104" s="198">
        <f t="shared" si="54"/>
        <v>77407.999999999985</v>
      </c>
      <c r="L104" s="198">
        <f t="shared" si="54"/>
        <v>77539.199999999997</v>
      </c>
      <c r="M104" s="198">
        <f t="shared" si="54"/>
        <v>77407.999999999985</v>
      </c>
      <c r="N104" s="198">
        <f t="shared" si="54"/>
        <v>77539.199999999997</v>
      </c>
      <c r="O104" s="198">
        <f t="shared" si="54"/>
        <v>77407.999999999985</v>
      </c>
      <c r="P104" s="198">
        <f t="shared" si="54"/>
        <v>77539.199999999997</v>
      </c>
      <c r="Q104" s="198">
        <f t="shared" si="54"/>
        <v>77407.999999999985</v>
      </c>
      <c r="R104" s="198">
        <f t="shared" si="54"/>
        <v>38703.999999999993</v>
      </c>
      <c r="S104" s="198">
        <f t="shared" si="54"/>
        <v>0</v>
      </c>
      <c r="T104" s="198">
        <f t="shared" si="54"/>
        <v>0</v>
      </c>
      <c r="U104" s="198">
        <f t="shared" si="54"/>
        <v>0</v>
      </c>
      <c r="V104" s="198">
        <f t="shared" si="54"/>
        <v>0</v>
      </c>
    </row>
    <row r="105" spans="1:22">
      <c r="A105" s="16" t="s">
        <v>118</v>
      </c>
      <c r="B105" s="19">
        <f>B103-B104</f>
        <v>1311999.9999999998</v>
      </c>
      <c r="C105" s="19">
        <f t="shared" ref="C105:V105" si="55">C103-C104</f>
        <v>1246399.9999999998</v>
      </c>
      <c r="D105" s="19">
        <f t="shared" si="55"/>
        <v>1121759.9999999998</v>
      </c>
      <c r="E105" s="19">
        <f t="shared" si="55"/>
        <v>1009583.9999999998</v>
      </c>
      <c r="F105" s="19">
        <f t="shared" si="55"/>
        <v>908559.99999999977</v>
      </c>
      <c r="G105" s="19">
        <f t="shared" si="55"/>
        <v>817638.39999999979</v>
      </c>
      <c r="H105" s="19">
        <f t="shared" si="55"/>
        <v>735900.79999999981</v>
      </c>
      <c r="I105" s="19">
        <f t="shared" si="55"/>
        <v>658492.79999999981</v>
      </c>
      <c r="J105" s="19">
        <f t="shared" si="55"/>
        <v>580953.59999999986</v>
      </c>
      <c r="K105" s="19">
        <f t="shared" si="55"/>
        <v>503545.59999999986</v>
      </c>
      <c r="L105" s="19">
        <f t="shared" si="55"/>
        <v>426006.39999999985</v>
      </c>
      <c r="M105" s="19">
        <f t="shared" si="55"/>
        <v>348598.39999999985</v>
      </c>
      <c r="N105" s="19">
        <f t="shared" si="55"/>
        <v>271059.19999999984</v>
      </c>
      <c r="O105" s="19">
        <f t="shared" si="55"/>
        <v>193651.19999999984</v>
      </c>
      <c r="P105" s="19">
        <f t="shared" si="55"/>
        <v>116111.99999999984</v>
      </c>
      <c r="Q105" s="19">
        <f t="shared" si="55"/>
        <v>38703.999999999854</v>
      </c>
      <c r="R105" s="19">
        <f t="shared" si="55"/>
        <v>-1.3824319466948509E-10</v>
      </c>
      <c r="S105" s="19">
        <f t="shared" si="55"/>
        <v>-1.3824319466948509E-10</v>
      </c>
      <c r="T105" s="19">
        <f t="shared" si="55"/>
        <v>-1.3824319466948509E-10</v>
      </c>
      <c r="U105" s="19">
        <f t="shared" si="55"/>
        <v>-1.3824319466948509E-10</v>
      </c>
      <c r="V105" s="19">
        <f t="shared" si="55"/>
        <v>-1.3824319466948509E-10</v>
      </c>
    </row>
    <row r="109" spans="1:22">
      <c r="A109" s="44" t="s">
        <v>201</v>
      </c>
      <c r="B109" s="463">
        <f>B104</f>
        <v>0</v>
      </c>
      <c r="C109" s="463">
        <f t="shared" ref="C109:V109" si="56">C104</f>
        <v>65600</v>
      </c>
      <c r="D109" s="463">
        <f t="shared" si="56"/>
        <v>124639.99999999997</v>
      </c>
      <c r="E109" s="463">
        <f t="shared" si="56"/>
        <v>112175.99999999999</v>
      </c>
      <c r="F109" s="463">
        <f t="shared" si="56"/>
        <v>101023.99999999997</v>
      </c>
      <c r="G109" s="463">
        <f t="shared" si="56"/>
        <v>90921.599999999991</v>
      </c>
      <c r="H109" s="463">
        <f t="shared" si="56"/>
        <v>81737.599999999991</v>
      </c>
      <c r="I109" s="463">
        <f t="shared" si="56"/>
        <v>77407.999999999985</v>
      </c>
      <c r="J109" s="463">
        <f t="shared" si="56"/>
        <v>77539.199999999997</v>
      </c>
      <c r="K109" s="463">
        <f t="shared" si="56"/>
        <v>77407.999999999985</v>
      </c>
      <c r="L109" s="463">
        <f t="shared" si="56"/>
        <v>77539.199999999997</v>
      </c>
      <c r="M109" s="463">
        <f t="shared" si="56"/>
        <v>77407.999999999985</v>
      </c>
      <c r="N109" s="463">
        <f t="shared" si="56"/>
        <v>77539.199999999997</v>
      </c>
      <c r="O109" s="463">
        <f t="shared" si="56"/>
        <v>77407.999999999985</v>
      </c>
      <c r="P109" s="463">
        <f t="shared" si="56"/>
        <v>77539.199999999997</v>
      </c>
      <c r="Q109" s="463">
        <f t="shared" si="56"/>
        <v>77407.999999999985</v>
      </c>
      <c r="R109" s="463">
        <f t="shared" si="56"/>
        <v>38703.999999999993</v>
      </c>
      <c r="S109" s="463">
        <f t="shared" si="56"/>
        <v>0</v>
      </c>
      <c r="T109" s="463">
        <f t="shared" si="56"/>
        <v>0</v>
      </c>
      <c r="U109" s="463">
        <f t="shared" si="56"/>
        <v>0</v>
      </c>
      <c r="V109" s="463">
        <f t="shared" si="56"/>
        <v>0</v>
      </c>
    </row>
    <row r="110" spans="1:22">
      <c r="A110" s="399" t="s">
        <v>202</v>
      </c>
      <c r="B110" s="464">
        <v>0</v>
      </c>
      <c r="C110" s="464">
        <f>SUM(Brownsville!B91,Caledonia!B88,'New Albany'!B88,Gleason!B91,Wheatland!B92,Wilton!B85)</f>
        <v>-65600</v>
      </c>
      <c r="D110" s="464">
        <f>SUM(Brownsville!C91,Caledonia!C88,'New Albany'!C88,Gleason!C91,Wheatland!C92,Wilton!C85)</f>
        <v>-124639.99999999997</v>
      </c>
      <c r="E110" s="464">
        <f>SUM(Brownsville!D91,Caledonia!D88,'New Albany'!D88,Gleason!D91,Wheatland!D92,Wilton!D85)</f>
        <v>-112175.99999999999</v>
      </c>
      <c r="F110" s="464">
        <f>SUM(Brownsville!E91,Caledonia!E88,'New Albany'!E88,Gleason!E91,Wheatland!E92,Wilton!E85)</f>
        <v>-101023.99999999997</v>
      </c>
      <c r="G110" s="464">
        <f>SUM(Brownsville!F91,Caledonia!F88,'New Albany'!F88,Gleason!F91,Wheatland!F92,Wilton!F85)</f>
        <v>-90921.599999999991</v>
      </c>
      <c r="H110" s="464">
        <f>SUM(Brownsville!G91,Caledonia!G88,'New Albany'!G88,Gleason!G91,Wheatland!G92,Wilton!G85)</f>
        <v>-81737.599999999991</v>
      </c>
      <c r="I110" s="464">
        <f>SUM(Brownsville!H91,Caledonia!H88,'New Albany'!H88,Gleason!H91,Wheatland!H92,Wilton!H85)</f>
        <v>-77407.999999999985</v>
      </c>
      <c r="J110" s="464">
        <f>SUM(Brownsville!I91,Caledonia!I88,'New Albany'!I88,Gleason!I91,Wheatland!I92,Wilton!I85)</f>
        <v>-77539.199999999997</v>
      </c>
      <c r="K110" s="464">
        <f>SUM(Brownsville!J91,Caledonia!J88,'New Albany'!J88,Gleason!J91,Wheatland!J92,Wilton!J85)</f>
        <v>-77407.999999999985</v>
      </c>
      <c r="L110" s="464">
        <f>SUM(Brownsville!K91,Caledonia!K88,'New Albany'!K88,Gleason!K91,Wheatland!K92,Wilton!K85)</f>
        <v>-77539.199999999997</v>
      </c>
      <c r="M110" s="464">
        <f>SUM(Brownsville!L91,Caledonia!L88,'New Albany'!L88,Gleason!L91,Wheatland!L92,Wilton!L85)</f>
        <v>-77407.999999999985</v>
      </c>
      <c r="N110" s="464">
        <f>SUM(Brownsville!M91,Caledonia!M88,'New Albany'!M88,Gleason!M91,Wheatland!M92,Wilton!M85)</f>
        <v>-77539.199999999997</v>
      </c>
      <c r="O110" s="464">
        <f>SUM(Brownsville!N91,Caledonia!N88,'New Albany'!N88,Gleason!N91,Wheatland!N92,Wilton!N85)</f>
        <v>-77407.999999999985</v>
      </c>
      <c r="P110" s="464">
        <f>SUM(Brownsville!O91,Caledonia!O88,'New Albany'!O88,Gleason!O91,Wheatland!O92,Wilton!O85)</f>
        <v>-77539.199999999997</v>
      </c>
      <c r="Q110" s="464">
        <f>SUM(Brownsville!P91,Caledonia!P88,'New Albany'!P88,Gleason!P91,Wheatland!P92,Wilton!P85)</f>
        <v>-77407.999999999985</v>
      </c>
      <c r="R110" s="464">
        <f>SUM(Brownsville!Q91,Caledonia!Q88,'New Albany'!Q88,Gleason!Q91,Wheatland!Q92,Wilton!Q85)</f>
        <v>-38703.999999999993</v>
      </c>
      <c r="S110" s="464">
        <f>SUM(Brownsville!R91,Caledonia!R88,'New Albany'!R88,Gleason!R91,Wheatland!R92,Wilton!R85)</f>
        <v>0</v>
      </c>
      <c r="T110" s="464">
        <f>SUM(Brownsville!S91,Caledonia!S88,'New Albany'!S88,Gleason!S91,Wheatland!S92,Wilton!S85)</f>
        <v>0</v>
      </c>
      <c r="U110" s="464">
        <f>SUM(Brownsville!T91,Caledonia!T88,'New Albany'!T88,Gleason!T91,Wheatland!T92,Wilton!T85)</f>
        <v>0</v>
      </c>
      <c r="V110" s="464">
        <f>SUM(Brownsville!U91,Caledonia!U88,'New Albany'!U88,Gleason!U91,Wheatland!U92,Wilton!U85)</f>
        <v>0</v>
      </c>
    </row>
    <row r="111" spans="1:22">
      <c r="A111" s="44" t="s">
        <v>203</v>
      </c>
      <c r="B111" s="463">
        <f>B109+B110</f>
        <v>0</v>
      </c>
      <c r="C111" s="463">
        <f t="shared" ref="C111:V111" si="57">C109+C110</f>
        <v>0</v>
      </c>
      <c r="D111" s="463">
        <f t="shared" si="57"/>
        <v>0</v>
      </c>
      <c r="E111" s="463">
        <f t="shared" si="57"/>
        <v>0</v>
      </c>
      <c r="F111" s="463">
        <f t="shared" si="57"/>
        <v>0</v>
      </c>
      <c r="G111" s="463">
        <f t="shared" si="57"/>
        <v>0</v>
      </c>
      <c r="H111" s="463">
        <f t="shared" si="57"/>
        <v>0</v>
      </c>
      <c r="I111" s="463">
        <f t="shared" si="57"/>
        <v>0</v>
      </c>
      <c r="J111" s="463">
        <f t="shared" si="57"/>
        <v>0</v>
      </c>
      <c r="K111" s="463">
        <f t="shared" si="57"/>
        <v>0</v>
      </c>
      <c r="L111" s="463">
        <f t="shared" si="57"/>
        <v>0</v>
      </c>
      <c r="M111" s="463">
        <f t="shared" si="57"/>
        <v>0</v>
      </c>
      <c r="N111" s="463">
        <f t="shared" si="57"/>
        <v>0</v>
      </c>
      <c r="O111" s="463">
        <f t="shared" si="57"/>
        <v>0</v>
      </c>
      <c r="P111" s="463">
        <f t="shared" si="57"/>
        <v>0</v>
      </c>
      <c r="Q111" s="463">
        <f t="shared" si="57"/>
        <v>0</v>
      </c>
      <c r="R111" s="463">
        <f t="shared" si="57"/>
        <v>0</v>
      </c>
      <c r="S111" s="463">
        <f t="shared" si="57"/>
        <v>0</v>
      </c>
      <c r="T111" s="463">
        <f t="shared" si="57"/>
        <v>0</v>
      </c>
      <c r="U111" s="463">
        <f t="shared" si="57"/>
        <v>0</v>
      </c>
      <c r="V111" s="463">
        <f t="shared" si="57"/>
        <v>0</v>
      </c>
    </row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1" manualBreakCount="1">
    <brk id="61" max="2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Y32"/>
  <sheetViews>
    <sheetView zoomScale="75" zoomScaleNormal="75" workbookViewId="0"/>
  </sheetViews>
  <sheetFormatPr defaultRowHeight="12.75"/>
  <cols>
    <col min="1" max="1" width="43.42578125" style="16" customWidth="1"/>
    <col min="2" max="3" width="10.42578125" style="16" customWidth="1"/>
    <col min="4" max="7" width="10.140625" style="16" customWidth="1"/>
    <col min="8" max="21" width="10" style="16" customWidth="1"/>
    <col min="22" max="22" width="10" style="6" customWidth="1"/>
    <col min="23" max="23" width="12.7109375" style="6" bestFit="1" customWidth="1"/>
    <col min="24" max="24" width="12.28515625" style="6" bestFit="1" customWidth="1"/>
    <col min="25" max="25" width="9.7109375" style="6" bestFit="1" customWidth="1"/>
    <col min="26" max="16384" width="9.140625" style="6"/>
  </cols>
  <sheetData>
    <row r="2" spans="1:25" ht="18.75">
      <c r="A2" s="53" t="s">
        <v>170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26"/>
      <c r="W2" s="126"/>
    </row>
    <row r="3" spans="1:25">
      <c r="A3" s="57"/>
      <c r="B3" s="18"/>
      <c r="C3" s="18"/>
      <c r="D3" s="18"/>
      <c r="E3" s="18"/>
      <c r="F3" s="18"/>
      <c r="G3" s="138"/>
      <c r="H3" s="18"/>
      <c r="I3" s="18"/>
      <c r="J3" s="18"/>
      <c r="K3" s="18"/>
      <c r="L3" s="18"/>
      <c r="M3" s="138"/>
      <c r="N3" s="18"/>
      <c r="O3" s="18"/>
      <c r="P3" s="18"/>
      <c r="Q3" s="18"/>
      <c r="R3" s="18"/>
      <c r="S3" s="138"/>
      <c r="T3" s="18"/>
      <c r="U3" s="18"/>
      <c r="V3" s="155"/>
      <c r="W3" s="155"/>
    </row>
    <row r="4" spans="1:25">
      <c r="A4" s="224"/>
      <c r="B4" s="240">
        <v>3</v>
      </c>
      <c r="C4" s="240">
        <v>4</v>
      </c>
      <c r="D4" s="240">
        <v>5</v>
      </c>
      <c r="E4" s="241">
        <v>6</v>
      </c>
      <c r="F4" s="240">
        <v>7</v>
      </c>
      <c r="G4" s="240">
        <v>8</v>
      </c>
      <c r="H4" s="240">
        <v>9</v>
      </c>
      <c r="I4" s="240">
        <v>10</v>
      </c>
      <c r="J4" s="240">
        <v>11</v>
      </c>
      <c r="K4" s="241">
        <v>12</v>
      </c>
      <c r="L4" s="240">
        <v>13</v>
      </c>
      <c r="M4" s="240">
        <v>14</v>
      </c>
      <c r="N4" s="240">
        <v>15</v>
      </c>
      <c r="O4" s="240">
        <v>16</v>
      </c>
      <c r="P4" s="240">
        <v>17</v>
      </c>
      <c r="Q4" s="241">
        <v>18</v>
      </c>
      <c r="R4" s="240">
        <v>19</v>
      </c>
      <c r="S4" s="240">
        <v>20</v>
      </c>
      <c r="T4" s="240">
        <v>21</v>
      </c>
      <c r="U4" s="240">
        <v>22</v>
      </c>
      <c r="V4" s="156"/>
      <c r="W4" s="155"/>
    </row>
    <row r="5" spans="1:25" ht="13.5" thickBot="1">
      <c r="A5" s="194" t="s">
        <v>56</v>
      </c>
      <c r="B5" s="8">
        <v>2001</v>
      </c>
      <c r="C5" s="8">
        <v>2002</v>
      </c>
      <c r="D5" s="8">
        <v>2003</v>
      </c>
      <c r="E5" s="8">
        <v>2004</v>
      </c>
      <c r="F5" s="8">
        <v>2005</v>
      </c>
      <c r="G5" s="8">
        <v>2006</v>
      </c>
      <c r="H5" s="8">
        <v>2007</v>
      </c>
      <c r="I5" s="8">
        <v>2008</v>
      </c>
      <c r="J5" s="8">
        <v>2009</v>
      </c>
      <c r="K5" s="8">
        <v>2010</v>
      </c>
      <c r="L5" s="8">
        <v>2011</v>
      </c>
      <c r="M5" s="8">
        <v>2012</v>
      </c>
      <c r="N5" s="8">
        <v>2013</v>
      </c>
      <c r="O5" s="8">
        <v>2014</v>
      </c>
      <c r="P5" s="8">
        <v>2015</v>
      </c>
      <c r="Q5" s="8">
        <v>2016</v>
      </c>
      <c r="R5" s="8">
        <v>2017</v>
      </c>
      <c r="S5" s="8">
        <v>2018</v>
      </c>
      <c r="T5" s="8">
        <v>2019</v>
      </c>
      <c r="U5" s="8">
        <v>2020</v>
      </c>
    </row>
    <row r="6" spans="1:25">
      <c r="A6" s="224"/>
      <c r="B6" s="247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5">
      <c r="A7" s="225" t="s">
        <v>83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39"/>
      <c r="W7" s="139"/>
    </row>
    <row r="8" spans="1:25" ht="13.5" thickBot="1">
      <c r="A8" s="32" t="s">
        <v>130</v>
      </c>
      <c r="B8" s="327">
        <f>SUM(Caledonia!B100,'New Albany'!B100,Wheatland!B106,Wilton!B97,Brownsville!B103,Gleason!B103)</f>
        <v>296.48996776542862</v>
      </c>
      <c r="C8" s="327">
        <f>SUM(Caledonia!C100,'New Albany'!C100,Wheatland!C106,Wilton!C97,Brownsville!C103,Gleason!C103)</f>
        <v>297.14384874839141</v>
      </c>
      <c r="D8" s="327">
        <f>SUM(Caledonia!D100,'New Albany'!D100,Wheatland!D106,Wilton!D97,Brownsville!D103,Gleason!D103)</f>
        <v>297.8207467523431</v>
      </c>
      <c r="E8" s="327">
        <f>SUM(Caledonia!E100,'New Albany'!E100,Wheatland!E106,Wilton!E97,Brownsville!E103,Gleason!E103)</f>
        <v>540.19017382831646</v>
      </c>
      <c r="F8" s="327">
        <f>SUM(Caledonia!F100,'New Albany'!F100,Wheatland!F106,Wilton!F97,Brownsville!F103,Gleason!F103)</f>
        <v>788.12514419986553</v>
      </c>
      <c r="G8" s="327">
        <f>SUM(Caledonia!G100,'New Albany'!G100,Wheatland!G106,Wilton!G97,Brownsville!G103,Gleason!G103)</f>
        <v>1907.2100077232219</v>
      </c>
      <c r="H8" s="327">
        <f>SUM(Caledonia!H100,'New Albany'!H100,Wheatland!H106,Wilton!H97,Brownsville!H103,Gleason!H103)</f>
        <v>3772.6611286738225</v>
      </c>
      <c r="I8" s="327">
        <f>SUM(Caledonia!I100,'New Albany'!I100,Wheatland!I106,Wilton!I97,Brownsville!I103,Gleason!I103)</f>
        <v>4843.4329753784532</v>
      </c>
      <c r="J8" s="327">
        <f>SUM(Caledonia!J100,'New Albany'!J100,Wheatland!J106,Wilton!J97,Brownsville!J103,Gleason!J103)</f>
        <v>6215.9971303845396</v>
      </c>
      <c r="K8" s="327">
        <f>SUM(Caledonia!K100,'New Albany'!K100,Wheatland!K106,Wilton!K97,Brownsville!K103,Gleason!K103)</f>
        <v>6686.9996953456812</v>
      </c>
      <c r="L8" s="327">
        <f>SUM(Caledonia!L100,'New Albany'!L100,Wheatland!L106,Wilton!L97,Brownsville!L103,Gleason!L103)</f>
        <v>7262.3559767148554</v>
      </c>
      <c r="M8" s="327">
        <f>SUM(Caledonia!M100,'New Albany'!M100,Wheatland!M106,Wilton!M97,Brownsville!M103,Gleason!M103)</f>
        <v>7868.2583874402299</v>
      </c>
      <c r="N8" s="327">
        <f>SUM(Caledonia!N100,'New Albany'!N100,Wheatland!N106,Wilton!N97,Brownsville!N103,Gleason!N103)</f>
        <v>8481.3339761145835</v>
      </c>
      <c r="O8" s="327">
        <f>SUM(Caledonia!O100,'New Albany'!O100,Wheatland!O106,Wilton!O97,Brownsville!O103,Gleason!O103)</f>
        <v>9083.8176342563092</v>
      </c>
      <c r="P8" s="327">
        <f>SUM(Caledonia!P100,'New Albany'!P100,Wheatland!P106,Wilton!P97,Brownsville!P103,Gleason!P103)</f>
        <v>9680.4505470817421</v>
      </c>
      <c r="Q8" s="327">
        <f>SUM(Caledonia!Q100,'New Albany'!Q100,Wheatland!Q106,Wilton!Q97,Brownsville!Q103,Gleason!Q103)</f>
        <v>12525.745107374209</v>
      </c>
      <c r="R8" s="327">
        <f>SUM(Caledonia!R100,'New Albany'!R100,Wheatland!R106,Wilton!R97,Brownsville!R103,Gleason!R103)</f>
        <v>15359.395031746557</v>
      </c>
      <c r="S8" s="327">
        <f>SUM(Caledonia!S100,'New Albany'!S100,Wheatland!S106,Wilton!S97,Brownsville!S103,Gleason!S103)</f>
        <v>15942.780156855744</v>
      </c>
      <c r="T8" s="327">
        <f>SUM(Caledonia!T100,'New Albany'!T100,Wheatland!T106,Wilton!T97,Brownsville!T103,Gleason!T103)</f>
        <v>16478.665116239335</v>
      </c>
      <c r="U8" s="327">
        <f>SUM(Caledonia!U100,'New Albany'!U100,Wheatland!U106,Wilton!U97,Brownsville!U103,Gleason!U103)</f>
        <v>17017.110892611516</v>
      </c>
      <c r="V8" s="221"/>
      <c r="W8" s="423">
        <f>SUM(B8:U8)</f>
        <v>145345.98364523516</v>
      </c>
      <c r="X8" s="422">
        <f>SUM(Brownsville!W103,Caledonia!W100,'New Albany'!W100,Gleason!W103,Wheatland!W106,Wilton!W97)</f>
        <v>145345.98364523513</v>
      </c>
      <c r="Y8" s="417">
        <f>W8-X8</f>
        <v>0</v>
      </c>
    </row>
    <row r="9" spans="1:25">
      <c r="A9" s="32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21"/>
      <c r="W9" s="221"/>
    </row>
    <row r="10" spans="1:25">
      <c r="A10" s="21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157"/>
      <c r="W10" s="157"/>
    </row>
    <row r="11" spans="1:25">
      <c r="A11" s="225" t="s">
        <v>84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154"/>
      <c r="W11" s="154"/>
    </row>
    <row r="12" spans="1:25">
      <c r="A12" s="21" t="s">
        <v>241</v>
      </c>
      <c r="B12" s="20">
        <f>IS!B40-IS!B13</f>
        <v>-796.09417894606304</v>
      </c>
      <c r="C12" s="20">
        <f>IS!C40-IS!C13</f>
        <v>-176.66528580908198</v>
      </c>
      <c r="D12" s="20">
        <f>IS!D40-IS!D13</f>
        <v>1009.2847082282096</v>
      </c>
      <c r="E12" s="20">
        <f>IS!E40</f>
        <v>88454.728194884185</v>
      </c>
      <c r="F12" s="20">
        <f>IS!F40</f>
        <v>101741.46716859919</v>
      </c>
      <c r="G12" s="20">
        <f>IS!G40</f>
        <v>107712.11344066284</v>
      </c>
      <c r="H12" s="20">
        <f>IS!H40</f>
        <v>114130.55890587348</v>
      </c>
      <c r="I12" s="20">
        <f>IS!I40</f>
        <v>120800.81363151818</v>
      </c>
      <c r="J12" s="20">
        <f>IS!J40</f>
        <v>128440.97320911312</v>
      </c>
      <c r="K12" s="20">
        <f>IS!K40</f>
        <v>135673.56799986993</v>
      </c>
      <c r="L12" s="20">
        <f>IS!L40</f>
        <v>144843.67952594685</v>
      </c>
      <c r="M12" s="20">
        <f>IS!M40</f>
        <v>154707.0420039742</v>
      </c>
      <c r="N12" s="20">
        <f>IS!N40</f>
        <v>164397.72247397961</v>
      </c>
      <c r="O12" s="20">
        <f>IS!O40</f>
        <v>174125.65478702314</v>
      </c>
      <c r="P12" s="20">
        <f>IS!P40</f>
        <v>183498.37643098066</v>
      </c>
      <c r="Q12" s="20">
        <f>IS!Q40</f>
        <v>193223.0800301072</v>
      </c>
      <c r="R12" s="20">
        <f>IS!R40</f>
        <v>202730.96813547862</v>
      </c>
      <c r="S12" s="20">
        <f>IS!S40</f>
        <v>211942.48676265613</v>
      </c>
      <c r="T12" s="20">
        <f>IS!T40</f>
        <v>220400.58160881163</v>
      </c>
      <c r="U12" s="20">
        <f>IS!U40</f>
        <v>228898.53684604442</v>
      </c>
      <c r="V12" s="157"/>
      <c r="W12" s="423">
        <f>SUM(B12:U12)</f>
        <v>2675758.8763989965</v>
      </c>
      <c r="X12" s="422">
        <f>SUM(Caledonia!W86,'New Albany'!W86,Wheatland!W90,Wilton!W83,Brownsville!W89,Gleason!W89)</f>
        <v>2675758.8763989965</v>
      </c>
      <c r="Y12" s="417">
        <f>W12-X12</f>
        <v>0</v>
      </c>
    </row>
    <row r="13" spans="1:25">
      <c r="A13" s="21" t="s">
        <v>132</v>
      </c>
      <c r="B13" s="20">
        <f>IS!B34</f>
        <v>44225.064199866087</v>
      </c>
      <c r="C13" s="20">
        <f>IS!C34</f>
        <v>44225.064199866087</v>
      </c>
      <c r="D13" s="20">
        <f>IS!D34</f>
        <v>44225.064199866087</v>
      </c>
      <c r="E13" s="20">
        <f>IS!E34</f>
        <v>44225.064199866087</v>
      </c>
      <c r="F13" s="20">
        <f>IS!F34</f>
        <v>44225.064199866087</v>
      </c>
      <c r="G13" s="20">
        <f>IS!G34</f>
        <v>44225.064199866087</v>
      </c>
      <c r="H13" s="20">
        <f>IS!H34</f>
        <v>44225.064199866087</v>
      </c>
      <c r="I13" s="20">
        <f>IS!I34</f>
        <v>44225.064199866087</v>
      </c>
      <c r="J13" s="20">
        <f>IS!J34</f>
        <v>44225.064199866087</v>
      </c>
      <c r="K13" s="20">
        <f>IS!K34</f>
        <v>44225.064199866087</v>
      </c>
      <c r="L13" s="20">
        <f>IS!L34</f>
        <v>44225.064199866087</v>
      </c>
      <c r="M13" s="20">
        <f>IS!M34</f>
        <v>44225.064199866087</v>
      </c>
      <c r="N13" s="20">
        <f>IS!N34</f>
        <v>44225.064199866087</v>
      </c>
      <c r="O13" s="20">
        <f>IS!O34</f>
        <v>44225.064199866087</v>
      </c>
      <c r="P13" s="20">
        <f>IS!P34</f>
        <v>44225.064199866087</v>
      </c>
      <c r="Q13" s="20">
        <f>IS!Q34</f>
        <v>44225.064199866087</v>
      </c>
      <c r="R13" s="20">
        <f>IS!R34</f>
        <v>44225.064199866087</v>
      </c>
      <c r="S13" s="20">
        <f>IS!S34</f>
        <v>44225.064199866087</v>
      </c>
      <c r="T13" s="20">
        <f>IS!T34</f>
        <v>44225.064199866087</v>
      </c>
      <c r="U13" s="20">
        <f>IS!U34</f>
        <v>44225.064199866087</v>
      </c>
      <c r="V13" s="157"/>
      <c r="W13" s="423">
        <f>SUM(B13:U13)</f>
        <v>884501.28399732127</v>
      </c>
      <c r="X13" s="422">
        <f>SUM(Caledonia!W87,'New Albany'!W87,Wheatland!W91,Wilton!W84,Brownsville!W90,Gleason!W90)</f>
        <v>884501.2839973215</v>
      </c>
      <c r="Y13" s="417">
        <f>W13-X13</f>
        <v>0</v>
      </c>
    </row>
    <row r="14" spans="1:25">
      <c r="A14" s="21" t="s">
        <v>199</v>
      </c>
      <c r="B14" s="22">
        <f>-Depreciation!C104</f>
        <v>-65600</v>
      </c>
      <c r="C14" s="22">
        <f>-Depreciation!D104</f>
        <v>-124639.99999999997</v>
      </c>
      <c r="D14" s="22">
        <f>-Depreciation!E104</f>
        <v>-112175.99999999999</v>
      </c>
      <c r="E14" s="22">
        <f>-Depreciation!F104</f>
        <v>-101023.99999999997</v>
      </c>
      <c r="F14" s="22">
        <f>-Depreciation!G104</f>
        <v>-90921.599999999991</v>
      </c>
      <c r="G14" s="22">
        <f>-Depreciation!H104</f>
        <v>-81737.599999999991</v>
      </c>
      <c r="H14" s="22">
        <f>-Depreciation!I104</f>
        <v>-77407.999999999985</v>
      </c>
      <c r="I14" s="22">
        <f>-Depreciation!J104</f>
        <v>-77539.199999999997</v>
      </c>
      <c r="J14" s="22">
        <f>-Depreciation!K104</f>
        <v>-77407.999999999985</v>
      </c>
      <c r="K14" s="22">
        <f>-Depreciation!L104</f>
        <v>-77539.199999999997</v>
      </c>
      <c r="L14" s="22">
        <f>-Depreciation!M104</f>
        <v>-77407.999999999985</v>
      </c>
      <c r="M14" s="22">
        <f>-Depreciation!N104</f>
        <v>-77539.199999999997</v>
      </c>
      <c r="N14" s="22">
        <f>-Depreciation!O104</f>
        <v>-77407.999999999985</v>
      </c>
      <c r="O14" s="22">
        <f>-Depreciation!P104</f>
        <v>-77539.199999999997</v>
      </c>
      <c r="P14" s="22">
        <f>-Depreciation!Q104</f>
        <v>-77407.999999999985</v>
      </c>
      <c r="Q14" s="22">
        <f>-Depreciation!R104</f>
        <v>-38703.999999999993</v>
      </c>
      <c r="R14" s="22">
        <f>-Depreciation!S104</f>
        <v>0</v>
      </c>
      <c r="S14" s="22">
        <f>-Depreciation!T104</f>
        <v>0</v>
      </c>
      <c r="T14" s="22">
        <f>-Depreciation!U104</f>
        <v>0</v>
      </c>
      <c r="U14" s="22">
        <f>-Depreciation!V104</f>
        <v>0</v>
      </c>
      <c r="V14" s="157"/>
      <c r="W14" s="423">
        <f>SUM(B14:U14)</f>
        <v>-1311999.9999999995</v>
      </c>
      <c r="X14" s="422">
        <f>SUM(Caledonia!W88,'New Albany'!W88,Wheatland!W92,Wilton!W85,Brownsville!W91,Gleason!W91)</f>
        <v>-1311999.9999999998</v>
      </c>
      <c r="Y14" s="417">
        <f>W14-X14</f>
        <v>0</v>
      </c>
    </row>
    <row r="15" spans="1:25" ht="15">
      <c r="A15" s="21" t="s">
        <v>139</v>
      </c>
      <c r="B15" s="232">
        <f>-B8</f>
        <v>-296.48996776542862</v>
      </c>
      <c r="C15" s="232">
        <f t="shared" ref="C15:U15" si="0">-C8</f>
        <v>-297.14384874839141</v>
      </c>
      <c r="D15" s="232">
        <f t="shared" si="0"/>
        <v>-297.8207467523431</v>
      </c>
      <c r="E15" s="232">
        <f t="shared" si="0"/>
        <v>-540.19017382831646</v>
      </c>
      <c r="F15" s="232">
        <f t="shared" si="0"/>
        <v>-788.12514419986553</v>
      </c>
      <c r="G15" s="232">
        <f t="shared" si="0"/>
        <v>-1907.2100077232219</v>
      </c>
      <c r="H15" s="232">
        <f t="shared" si="0"/>
        <v>-3772.6611286738225</v>
      </c>
      <c r="I15" s="232">
        <f t="shared" si="0"/>
        <v>-4843.4329753784532</v>
      </c>
      <c r="J15" s="232">
        <f t="shared" si="0"/>
        <v>-6215.9971303845396</v>
      </c>
      <c r="K15" s="232">
        <f t="shared" si="0"/>
        <v>-6686.9996953456812</v>
      </c>
      <c r="L15" s="232">
        <f t="shared" si="0"/>
        <v>-7262.3559767148554</v>
      </c>
      <c r="M15" s="232">
        <f t="shared" si="0"/>
        <v>-7868.2583874402299</v>
      </c>
      <c r="N15" s="232">
        <f t="shared" si="0"/>
        <v>-8481.3339761145835</v>
      </c>
      <c r="O15" s="232">
        <f t="shared" si="0"/>
        <v>-9083.8176342563092</v>
      </c>
      <c r="P15" s="232">
        <f t="shared" si="0"/>
        <v>-9680.4505470817421</v>
      </c>
      <c r="Q15" s="232">
        <f t="shared" si="0"/>
        <v>-12525.745107374209</v>
      </c>
      <c r="R15" s="232">
        <f t="shared" si="0"/>
        <v>-15359.395031746557</v>
      </c>
      <c r="S15" s="232">
        <f t="shared" si="0"/>
        <v>-15942.780156855744</v>
      </c>
      <c r="T15" s="232">
        <f t="shared" si="0"/>
        <v>-16478.665116239335</v>
      </c>
      <c r="U15" s="232">
        <f t="shared" si="0"/>
        <v>-17017.110892611516</v>
      </c>
      <c r="V15" s="159"/>
      <c r="W15" s="423">
        <f>SUM(B15:U15)</f>
        <v>-145345.98364523516</v>
      </c>
      <c r="X15" s="422">
        <f>SUM(Brownsville!W103,Caledonia!W100,'New Albany'!W100,Gleason!W103,Wheatland!W106,Wilton!W97)</f>
        <v>145345.98364523513</v>
      </c>
      <c r="Y15" s="417">
        <f>X15+W15</f>
        <v>0</v>
      </c>
    </row>
    <row r="16" spans="1:25">
      <c r="A16" s="227" t="s">
        <v>198</v>
      </c>
      <c r="B16" s="34">
        <f t="shared" ref="B16:U16" si="1">SUM(B12:B15)</f>
        <v>-22467.519946845405</v>
      </c>
      <c r="C16" s="34">
        <f t="shared" si="1"/>
        <v>-80888.744934691364</v>
      </c>
      <c r="D16" s="34">
        <f t="shared" si="1"/>
        <v>-67239.471838658035</v>
      </c>
      <c r="E16" s="34">
        <f t="shared" si="1"/>
        <v>31115.602220921999</v>
      </c>
      <c r="F16" s="34">
        <f t="shared" si="1"/>
        <v>54256.80622426542</v>
      </c>
      <c r="G16" s="34">
        <f t="shared" si="1"/>
        <v>68292.367632805734</v>
      </c>
      <c r="H16" s="34">
        <f t="shared" si="1"/>
        <v>77174.961977065759</v>
      </c>
      <c r="I16" s="34">
        <f t="shared" si="1"/>
        <v>82643.244856005796</v>
      </c>
      <c r="J16" s="34">
        <f t="shared" si="1"/>
        <v>89042.040278594679</v>
      </c>
      <c r="K16" s="34">
        <f t="shared" si="1"/>
        <v>95672.432504390337</v>
      </c>
      <c r="L16" s="34">
        <f t="shared" si="1"/>
        <v>104398.3877490981</v>
      </c>
      <c r="M16" s="34">
        <f t="shared" si="1"/>
        <v>113524.64781640006</v>
      </c>
      <c r="N16" s="34">
        <f t="shared" si="1"/>
        <v>122733.45269773115</v>
      </c>
      <c r="O16" s="34">
        <f t="shared" si="1"/>
        <v>131727.7013526329</v>
      </c>
      <c r="P16" s="34">
        <f t="shared" si="1"/>
        <v>140634.99008376503</v>
      </c>
      <c r="Q16" s="34">
        <f t="shared" si="1"/>
        <v>186218.39912259908</v>
      </c>
      <c r="R16" s="34">
        <f t="shared" si="1"/>
        <v>231596.63730359814</v>
      </c>
      <c r="S16" s="34">
        <f t="shared" si="1"/>
        <v>240224.77080566649</v>
      </c>
      <c r="T16" s="34">
        <f t="shared" si="1"/>
        <v>248146.98069243837</v>
      </c>
      <c r="U16" s="34">
        <f t="shared" si="1"/>
        <v>256106.49015329898</v>
      </c>
      <c r="V16" s="158"/>
      <c r="W16" s="423"/>
      <c r="X16" s="422"/>
      <c r="Y16" s="417"/>
    </row>
    <row r="17" spans="1:25">
      <c r="A17" s="227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158"/>
      <c r="W17" s="158"/>
    </row>
    <row r="18" spans="1:25">
      <c r="A18" s="21" t="s">
        <v>140</v>
      </c>
      <c r="B18" s="495">
        <f>Assumptions!$K$37</f>
        <v>0.35</v>
      </c>
      <c r="C18" s="495">
        <f>Assumptions!$K$37</f>
        <v>0.35</v>
      </c>
      <c r="D18" s="495">
        <f>Assumptions!$K$37</f>
        <v>0.35</v>
      </c>
      <c r="E18" s="495">
        <f>Assumptions!$K$37</f>
        <v>0.35</v>
      </c>
      <c r="F18" s="495">
        <f>Assumptions!$K$37</f>
        <v>0.35</v>
      </c>
      <c r="G18" s="495">
        <f>Assumptions!$K$37</f>
        <v>0.35</v>
      </c>
      <c r="H18" s="495">
        <f>Assumptions!$K$37</f>
        <v>0.35</v>
      </c>
      <c r="I18" s="495">
        <f>Assumptions!$K$37</f>
        <v>0.35</v>
      </c>
      <c r="J18" s="495">
        <f>Assumptions!$K$37</f>
        <v>0.35</v>
      </c>
      <c r="K18" s="495">
        <f>Assumptions!$K$37</f>
        <v>0.35</v>
      </c>
      <c r="L18" s="495">
        <f>Assumptions!$K$37</f>
        <v>0.35</v>
      </c>
      <c r="M18" s="495">
        <f>Assumptions!$K$37</f>
        <v>0.35</v>
      </c>
      <c r="N18" s="495">
        <f>Assumptions!$K$37</f>
        <v>0.35</v>
      </c>
      <c r="O18" s="495">
        <f>Assumptions!$K$37</f>
        <v>0.35</v>
      </c>
      <c r="P18" s="495">
        <f>Assumptions!$K$37</f>
        <v>0.35</v>
      </c>
      <c r="Q18" s="495">
        <f>Assumptions!$K$37</f>
        <v>0.35</v>
      </c>
      <c r="R18" s="495">
        <f>Assumptions!$K$37</f>
        <v>0.35</v>
      </c>
      <c r="S18" s="495">
        <f>Assumptions!$K$37</f>
        <v>0.35</v>
      </c>
      <c r="T18" s="495">
        <f>Assumptions!$K$37</f>
        <v>0.35</v>
      </c>
      <c r="U18" s="495">
        <f>Assumptions!$K$37</f>
        <v>0.35</v>
      </c>
      <c r="V18" s="160"/>
      <c r="W18" s="160"/>
    </row>
    <row r="19" spans="1:25">
      <c r="A19" s="227" t="s">
        <v>141</v>
      </c>
      <c r="B19" s="34">
        <f t="shared" ref="B19:U19" si="2">B16*B18</f>
        <v>-7863.6319813958908</v>
      </c>
      <c r="C19" s="34">
        <f t="shared" si="2"/>
        <v>-28311.060727141976</v>
      </c>
      <c r="D19" s="34">
        <f t="shared" si="2"/>
        <v>-23533.815143530312</v>
      </c>
      <c r="E19" s="34">
        <f t="shared" si="2"/>
        <v>10890.4607773227</v>
      </c>
      <c r="F19" s="34">
        <f t="shared" si="2"/>
        <v>18989.882178492895</v>
      </c>
      <c r="G19" s="34">
        <f t="shared" si="2"/>
        <v>23902.328671482006</v>
      </c>
      <c r="H19" s="34">
        <f t="shared" si="2"/>
        <v>27011.236691973016</v>
      </c>
      <c r="I19" s="34">
        <f t="shared" si="2"/>
        <v>28925.135699602026</v>
      </c>
      <c r="J19" s="34">
        <f t="shared" si="2"/>
        <v>31164.714097508135</v>
      </c>
      <c r="K19" s="34">
        <f t="shared" si="2"/>
        <v>33485.351376536615</v>
      </c>
      <c r="L19" s="34">
        <f t="shared" si="2"/>
        <v>36539.435712184328</v>
      </c>
      <c r="M19" s="34">
        <f t="shared" si="2"/>
        <v>39733.626735740021</v>
      </c>
      <c r="N19" s="34">
        <f t="shared" si="2"/>
        <v>42956.708444205899</v>
      </c>
      <c r="O19" s="34">
        <f t="shared" si="2"/>
        <v>46104.695473421511</v>
      </c>
      <c r="P19" s="34">
        <f t="shared" si="2"/>
        <v>49222.246529317759</v>
      </c>
      <c r="Q19" s="34">
        <f t="shared" si="2"/>
        <v>65176.439692909669</v>
      </c>
      <c r="R19" s="34">
        <f t="shared" si="2"/>
        <v>81058.823056259338</v>
      </c>
      <c r="S19" s="34">
        <f t="shared" si="2"/>
        <v>84078.669781983263</v>
      </c>
      <c r="T19" s="34">
        <f t="shared" si="2"/>
        <v>86851.443242353431</v>
      </c>
      <c r="U19" s="34">
        <f t="shared" si="2"/>
        <v>89637.271553654631</v>
      </c>
      <c r="V19" s="157"/>
      <c r="W19" s="157"/>
    </row>
    <row r="20" spans="1:25">
      <c r="A20" s="17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154"/>
      <c r="W20" s="154"/>
    </row>
    <row r="21" spans="1:25">
      <c r="A21" s="17" t="s">
        <v>226</v>
      </c>
      <c r="B21" s="239">
        <f>IF(B19&lt;0,-B19,0)</f>
        <v>7863.6319813958908</v>
      </c>
      <c r="C21" s="239">
        <f>IF(C19&lt;0,-C19+B21-B22,B21-B22)</f>
        <v>36174.69270853787</v>
      </c>
      <c r="D21" s="239">
        <f t="shared" ref="D21:U21" si="3">IF(D19&lt;0,-D19+C21-C22,C21-C22)</f>
        <v>59708.507852068185</v>
      </c>
      <c r="E21" s="239">
        <f t="shared" si="3"/>
        <v>59708.507852068185</v>
      </c>
      <c r="F21" s="239">
        <f t="shared" si="3"/>
        <v>48818.047074745482</v>
      </c>
      <c r="G21" s="239">
        <f t="shared" si="3"/>
        <v>29828.164896252587</v>
      </c>
      <c r="H21" s="239">
        <f t="shared" si="3"/>
        <v>5925.8362247705809</v>
      </c>
      <c r="I21" s="239">
        <f t="shared" si="3"/>
        <v>0</v>
      </c>
      <c r="J21" s="239">
        <f t="shared" si="3"/>
        <v>0</v>
      </c>
      <c r="K21" s="239">
        <f t="shared" si="3"/>
        <v>0</v>
      </c>
      <c r="L21" s="239">
        <f t="shared" si="3"/>
        <v>0</v>
      </c>
      <c r="M21" s="239">
        <f t="shared" si="3"/>
        <v>0</v>
      </c>
      <c r="N21" s="239">
        <f t="shared" si="3"/>
        <v>0</v>
      </c>
      <c r="O21" s="239">
        <f t="shared" si="3"/>
        <v>0</v>
      </c>
      <c r="P21" s="239">
        <f t="shared" si="3"/>
        <v>0</v>
      </c>
      <c r="Q21" s="239">
        <f t="shared" si="3"/>
        <v>0</v>
      </c>
      <c r="R21" s="239">
        <f t="shared" si="3"/>
        <v>0</v>
      </c>
      <c r="S21" s="239">
        <f t="shared" si="3"/>
        <v>0</v>
      </c>
      <c r="T21" s="239">
        <f t="shared" si="3"/>
        <v>0</v>
      </c>
      <c r="U21" s="239">
        <f t="shared" si="3"/>
        <v>0</v>
      </c>
      <c r="V21" s="157"/>
      <c r="W21" s="157"/>
    </row>
    <row r="22" spans="1:25">
      <c r="A22" s="17" t="s">
        <v>137</v>
      </c>
      <c r="B22" s="20">
        <f t="shared" ref="B22:U22" si="4">IF(B19&lt;0,0,IF(B21&gt;B19,B19,B21))</f>
        <v>0</v>
      </c>
      <c r="C22" s="20">
        <f t="shared" si="4"/>
        <v>0</v>
      </c>
      <c r="D22" s="20">
        <f t="shared" si="4"/>
        <v>0</v>
      </c>
      <c r="E22" s="20">
        <f t="shared" si="4"/>
        <v>10890.4607773227</v>
      </c>
      <c r="F22" s="20">
        <f t="shared" si="4"/>
        <v>18989.882178492895</v>
      </c>
      <c r="G22" s="20">
        <f t="shared" si="4"/>
        <v>23902.328671482006</v>
      </c>
      <c r="H22" s="239">
        <f t="shared" si="4"/>
        <v>5925.8362247705809</v>
      </c>
      <c r="I22" s="239">
        <f t="shared" si="4"/>
        <v>0</v>
      </c>
      <c r="J22" s="239">
        <f t="shared" si="4"/>
        <v>0</v>
      </c>
      <c r="K22" s="239">
        <f t="shared" si="4"/>
        <v>0</v>
      </c>
      <c r="L22" s="239">
        <f t="shared" si="4"/>
        <v>0</v>
      </c>
      <c r="M22" s="239">
        <f t="shared" si="4"/>
        <v>0</v>
      </c>
      <c r="N22" s="239">
        <f t="shared" si="4"/>
        <v>0</v>
      </c>
      <c r="O22" s="239">
        <f t="shared" si="4"/>
        <v>0</v>
      </c>
      <c r="P22" s="239">
        <f t="shared" si="4"/>
        <v>0</v>
      </c>
      <c r="Q22" s="239">
        <f t="shared" si="4"/>
        <v>0</v>
      </c>
      <c r="R22" s="239">
        <f t="shared" si="4"/>
        <v>0</v>
      </c>
      <c r="S22" s="239">
        <f t="shared" si="4"/>
        <v>0</v>
      </c>
      <c r="T22" s="239">
        <f t="shared" si="4"/>
        <v>0</v>
      </c>
      <c r="U22" s="239">
        <f t="shared" si="4"/>
        <v>0</v>
      </c>
      <c r="V22" s="481"/>
      <c r="W22" s="481"/>
    </row>
    <row r="23" spans="1:25">
      <c r="A23" s="17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157"/>
      <c r="W23" s="157"/>
    </row>
    <row r="24" spans="1:25" ht="13.5" thickBot="1">
      <c r="A24" s="32" t="s">
        <v>227</v>
      </c>
      <c r="B24" s="496">
        <f t="shared" ref="B24:T24" si="5">IF(B19&lt;0,0,(B19-B22))</f>
        <v>0</v>
      </c>
      <c r="C24" s="496">
        <f t="shared" si="5"/>
        <v>0</v>
      </c>
      <c r="D24" s="496">
        <f t="shared" si="5"/>
        <v>0</v>
      </c>
      <c r="E24" s="496">
        <f t="shared" si="5"/>
        <v>0</v>
      </c>
      <c r="F24" s="496">
        <f t="shared" si="5"/>
        <v>0</v>
      </c>
      <c r="G24" s="496">
        <f t="shared" si="5"/>
        <v>0</v>
      </c>
      <c r="H24" s="496">
        <f t="shared" si="5"/>
        <v>21085.400467202435</v>
      </c>
      <c r="I24" s="496">
        <f t="shared" si="5"/>
        <v>28925.135699602026</v>
      </c>
      <c r="J24" s="496">
        <f t="shared" si="5"/>
        <v>31164.714097508135</v>
      </c>
      <c r="K24" s="496">
        <f t="shared" si="5"/>
        <v>33485.351376536615</v>
      </c>
      <c r="L24" s="496">
        <f t="shared" si="5"/>
        <v>36539.435712184328</v>
      </c>
      <c r="M24" s="496">
        <f t="shared" si="5"/>
        <v>39733.626735740021</v>
      </c>
      <c r="N24" s="496">
        <f t="shared" si="5"/>
        <v>42956.708444205899</v>
      </c>
      <c r="O24" s="496">
        <f t="shared" si="5"/>
        <v>46104.695473421511</v>
      </c>
      <c r="P24" s="496">
        <f t="shared" si="5"/>
        <v>49222.246529317759</v>
      </c>
      <c r="Q24" s="496">
        <f t="shared" si="5"/>
        <v>65176.439692909669</v>
      </c>
      <c r="R24" s="496">
        <f t="shared" si="5"/>
        <v>81058.823056259338</v>
      </c>
      <c r="S24" s="496">
        <f t="shared" si="5"/>
        <v>84078.669781983263</v>
      </c>
      <c r="T24" s="496">
        <f t="shared" si="5"/>
        <v>86851.443242353431</v>
      </c>
      <c r="U24" s="496">
        <f>IF(U19&lt;0,0,(U19-U22))</f>
        <v>89637.271553654631</v>
      </c>
      <c r="V24" s="161"/>
      <c r="W24" s="423">
        <f>SUM(B24:U24)</f>
        <v>736019.96186287887</v>
      </c>
      <c r="X24" s="422">
        <f>SUM(Brownsville!W62,Caledonia!W62,'New Albany'!W62,Gleason!W62,Wheatland!W62,Wilton!W62)</f>
        <v>-736019.96186287911</v>
      </c>
      <c r="Y24" s="417">
        <f>X24+W24</f>
        <v>0</v>
      </c>
    </row>
    <row r="25" spans="1:25" ht="13.5" thickTop="1">
      <c r="V25" s="7"/>
      <c r="W25" s="7"/>
    </row>
    <row r="26" spans="1:25">
      <c r="E26" s="123"/>
      <c r="F26" s="123"/>
      <c r="V26" s="7"/>
      <c r="W26" s="7"/>
    </row>
    <row r="27" spans="1:25">
      <c r="V27" s="7"/>
      <c r="W27" s="7"/>
    </row>
    <row r="28" spans="1:25">
      <c r="V28" s="7"/>
      <c r="W28" s="7"/>
    </row>
    <row r="29" spans="1:25">
      <c r="V29" s="7"/>
      <c r="W29" s="7"/>
    </row>
    <row r="30" spans="1:25">
      <c r="V30" s="7"/>
      <c r="W30" s="7"/>
    </row>
    <row r="31" spans="1:25">
      <c r="V31" s="7"/>
      <c r="W31" s="7"/>
    </row>
    <row r="32" spans="1:25">
      <c r="V32" s="7"/>
      <c r="W32" s="7"/>
    </row>
  </sheetData>
  <pageMargins left="0.75" right="0.75" top="1" bottom="1" header="0.5" footer="0.5"/>
  <pageSetup scale="50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1" min="1" max="2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C767"/>
  <sheetViews>
    <sheetView zoomScale="75" zoomScaleNormal="75" workbookViewId="0"/>
  </sheetViews>
  <sheetFormatPr defaultRowHeight="12.75" outlineLevelRow="1" outlineLevelCol="1"/>
  <cols>
    <col min="1" max="1" width="47.5703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92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416"/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6"/>
      <c r="P6" s="416"/>
      <c r="Q6" s="416"/>
      <c r="R6" s="416"/>
      <c r="S6" s="416"/>
      <c r="T6" s="416"/>
      <c r="U6" s="416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1429.0040386638611</v>
      </c>
      <c r="AA7" s="470">
        <f>C10+C11</f>
        <v>1471.8741598237771</v>
      </c>
      <c r="AB7" s="470">
        <f>D10+D11</f>
        <v>1516.0303846184906</v>
      </c>
      <c r="AC7" s="470">
        <f t="shared" ref="AC7:AS7" si="1">E16</f>
        <v>1223.858653157045</v>
      </c>
      <c r="AD7" s="470">
        <f t="shared" si="1"/>
        <v>1260.5744127517564</v>
      </c>
      <c r="AE7" s="470">
        <f t="shared" si="1"/>
        <v>1298.3916451343091</v>
      </c>
      <c r="AF7" s="470">
        <f t="shared" si="1"/>
        <v>1337.3433944883384</v>
      </c>
      <c r="AG7" s="470">
        <f t="shared" si="1"/>
        <v>1377.4636963229882</v>
      </c>
      <c r="AH7" s="470">
        <f t="shared" si="1"/>
        <v>1418.787607212678</v>
      </c>
      <c r="AI7" s="470">
        <f t="shared" si="1"/>
        <v>1461.3512354290585</v>
      </c>
      <c r="AJ7" s="470">
        <f t="shared" si="1"/>
        <v>1505.1917724919304</v>
      </c>
      <c r="AK7" s="470">
        <f t="shared" si="1"/>
        <v>1550.3475256666879</v>
      </c>
      <c r="AL7" s="470">
        <f t="shared" si="1"/>
        <v>1596.8579514366886</v>
      </c>
      <c r="AM7" s="470">
        <f t="shared" si="1"/>
        <v>1644.7636899797892</v>
      </c>
      <c r="AN7" s="470">
        <f t="shared" si="1"/>
        <v>1694.1066006791832</v>
      </c>
      <c r="AO7" s="470">
        <f t="shared" si="1"/>
        <v>1744.9297986995584</v>
      </c>
      <c r="AP7" s="470">
        <f t="shared" si="1"/>
        <v>1797.2776926605452</v>
      </c>
      <c r="AQ7" s="470">
        <f t="shared" si="1"/>
        <v>1851.1960234403614</v>
      </c>
      <c r="AR7" s="470">
        <f t="shared" si="1"/>
        <v>1906.7319041435724</v>
      </c>
      <c r="AS7" s="470">
        <f t="shared" si="1"/>
        <v>1963.9338612678794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69">
        <v>0</v>
      </c>
      <c r="Z8" s="491">
        <f>B23+B24</f>
        <v>1429.0040386638611</v>
      </c>
      <c r="AA8" s="491">
        <f>C23+C24</f>
        <v>1471.8741598237771</v>
      </c>
      <c r="AB8" s="491">
        <f>D23+D24</f>
        <v>1516.0303846184906</v>
      </c>
      <c r="AC8" s="491">
        <f t="shared" ref="AC8:AS8" si="2">E23+1/3*E24</f>
        <v>1223.858653157045</v>
      </c>
      <c r="AD8" s="491">
        <f t="shared" si="2"/>
        <v>1260.5744127517564</v>
      </c>
      <c r="AE8" s="491">
        <f t="shared" si="2"/>
        <v>1298.3916451343091</v>
      </c>
      <c r="AF8" s="491">
        <f t="shared" si="2"/>
        <v>1337.3433944883384</v>
      </c>
      <c r="AG8" s="491">
        <f t="shared" si="2"/>
        <v>1377.4636963229884</v>
      </c>
      <c r="AH8" s="491">
        <f t="shared" si="2"/>
        <v>1418.7876072126783</v>
      </c>
      <c r="AI8" s="491">
        <f t="shared" si="2"/>
        <v>1461.3512354290588</v>
      </c>
      <c r="AJ8" s="491">
        <f t="shared" si="2"/>
        <v>1505.1917724919304</v>
      </c>
      <c r="AK8" s="491">
        <f t="shared" si="2"/>
        <v>1550.3475256666882</v>
      </c>
      <c r="AL8" s="491">
        <f t="shared" si="2"/>
        <v>1596.8579514366888</v>
      </c>
      <c r="AM8" s="491">
        <f t="shared" si="2"/>
        <v>1644.7636899797894</v>
      </c>
      <c r="AN8" s="491">
        <f t="shared" si="2"/>
        <v>1694.1066006791832</v>
      </c>
      <c r="AO8" s="491">
        <f t="shared" si="2"/>
        <v>1744.9297986995584</v>
      </c>
      <c r="AP8" s="491">
        <f t="shared" si="2"/>
        <v>1797.2776926605454</v>
      </c>
      <c r="AQ8" s="491">
        <f t="shared" si="2"/>
        <v>1851.1960234403616</v>
      </c>
      <c r="AR8" s="491">
        <f t="shared" si="2"/>
        <v>1906.7319041435726</v>
      </c>
      <c r="AS8" s="491">
        <f t="shared" si="2"/>
        <v>1963.9338612678794</v>
      </c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Assumption'!C27*12*Assumptions!$C$9</f>
        <v>21984</v>
      </c>
      <c r="C9" s="56">
        <f>'Power Price Assumption'!D27*12*Assumptions!$C$9</f>
        <v>21984</v>
      </c>
      <c r="D9" s="56">
        <f>'Power Price Assumption'!E27*12*Assumptions!$C$9</f>
        <v>21984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65952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Assumptions!C19*Assumptions!C17/1000*(1+Assumptions!$C$25)</f>
        <v>965.50403866386125</v>
      </c>
      <c r="C10" s="56">
        <f>B10*(1+Assumptions!$C$25)</f>
        <v>994.46915982377709</v>
      </c>
      <c r="D10" s="56">
        <f>C10*(1+Assumptions!$C$25)</f>
        <v>1024.3032346184905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2984.2764331061289</v>
      </c>
      <c r="X10" s="16"/>
      <c r="Y10" s="469"/>
      <c r="Z10" s="471"/>
      <c r="AA10" s="471"/>
      <c r="AB10" s="471"/>
      <c r="AC10" s="471"/>
      <c r="AD10" s="471"/>
      <c r="AE10" s="471"/>
      <c r="AF10" s="471"/>
      <c r="AG10" s="471"/>
      <c r="AH10" s="471"/>
      <c r="AI10" s="471"/>
      <c r="AJ10" s="471"/>
      <c r="AK10" s="471"/>
      <c r="AL10" s="471"/>
      <c r="AM10" s="471"/>
      <c r="AN10" s="471"/>
      <c r="AO10" s="471"/>
      <c r="AP10" s="471"/>
      <c r="AQ10" s="471"/>
      <c r="AR10" s="471"/>
      <c r="AS10" s="471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Assumptions!$C$18*Assumptions!$C$11*Assumptions!$C$8/1000*(1+Assumptions!$C$25)</f>
        <v>463.5</v>
      </c>
      <c r="C11" s="91">
        <f>B11*(1+Assumptions!$C$25)</f>
        <v>477.40500000000003</v>
      </c>
      <c r="D11" s="91">
        <f>C11*(1+Assumptions!$C$25)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Contract'!$C$11/3</f>
        <v>8116.9579548695401</v>
      </c>
      <c r="C12" s="127">
        <f>'Amortization of Power Contract'!$C$11/3</f>
        <v>8116.9579548695401</v>
      </c>
      <c r="D12" s="127">
        <f>'Amortization of Power Contract'!$C$11/3</f>
        <v>8116.9579548695401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24350.87386460862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B14" s="127"/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Assumption'!F27*Assumptions!$C$9*12</f>
        <v>35282.900644089299</v>
      </c>
      <c r="F15" s="19">
        <f>'Power Price Assumption'!G27*Assumptions!$C$9*12</f>
        <v>37032.451918507053</v>
      </c>
      <c r="G15" s="19">
        <f>'Power Price Assumption'!H27*Assumptions!$C$9*12</f>
        <v>37507.345204401674</v>
      </c>
      <c r="H15" s="19">
        <f>'Power Price Assumption'!I27*Assumptions!$C$9*12</f>
        <v>37988.328382304651</v>
      </c>
      <c r="I15" s="19">
        <f>'Power Price Assumption'!J27*Assumptions!$C$9*12</f>
        <v>38475.479547202296</v>
      </c>
      <c r="J15" s="19">
        <f>'Power Price Assumption'!K27*Assumptions!$C$9*12</f>
        <v>38968.877795548135</v>
      </c>
      <c r="K15" s="19">
        <f>'Power Price Assumption'!L27*Assumptions!$C$9*12</f>
        <v>39468.603238105337</v>
      </c>
      <c r="L15" s="19">
        <f>'Power Price Assumption'!M27*Assumptions!$C$9*12</f>
        <v>40215.43427377467</v>
      </c>
      <c r="M15" s="19">
        <f>'Power Price Assumption'!N27*Assumptions!$C$9*12</f>
        <v>40976.396962202896</v>
      </c>
      <c r="N15" s="19">
        <f>'Power Price Assumption'!O27*Assumptions!$C$9*12</f>
        <v>41751.758704716616</v>
      </c>
      <c r="O15" s="19">
        <f>'Power Price Assumption'!P27*Assumptions!$C$9*12</f>
        <v>42541.791962451833</v>
      </c>
      <c r="P15" s="19">
        <f>'Power Price Assumption'!Q27*Assumptions!$C$9*12</f>
        <v>43346.774352096516</v>
      </c>
      <c r="Q15" s="19">
        <f>'Power Price Assumption'!R27*Assumptions!$C$9*12</f>
        <v>43965.220802977667</v>
      </c>
      <c r="R15" s="19">
        <f>'Power Price Assumption'!S27*Assumptions!$C$9*12</f>
        <v>44592.490886489504</v>
      </c>
      <c r="S15" s="19">
        <f>'Power Price Assumption'!T27*Assumptions!$C$9*12</f>
        <v>45228.710493067127</v>
      </c>
      <c r="T15" s="19">
        <f>'Power Price Assumption'!U27*Assumptions!$C$9*12</f>
        <v>45874.007309276829</v>
      </c>
      <c r="U15" s="19">
        <f>'Power Price Assumption'!V27*Assumptions!$C$9*12</f>
        <v>46528.510843442287</v>
      </c>
      <c r="W15" s="91">
        <f>SUM(B15:U15)</f>
        <v>699745.08332065446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1/3*Assumptions!$C$18*Assumptions!$C$11*Assumptions!$C$8/1000*(1+Assumptions!$C$25)^(E5-2000)+Assumptions!$C$19*Assumptions!$C$17*(1+Assumptions!$C$25)^(E5-2000)/1000</f>
        <v>1223.858653157045</v>
      </c>
      <c r="F16" s="127">
        <f>1/3*Assumptions!$C$18*Assumptions!$C$11*Assumptions!$C$8/1000*(1+Assumptions!$C$25)^(F5-2000)+Assumptions!$C$19*Assumptions!$C$17*(1+Assumptions!$C$25)^(F5-2000)/1000</f>
        <v>1260.5744127517564</v>
      </c>
      <c r="G16" s="127">
        <f>1/3*Assumptions!$C$18*Assumptions!$C$11*Assumptions!$C$8/1000*(1+Assumptions!$C$25)^(G5-2000)+Assumptions!$C$19*Assumptions!$C$17*(1+Assumptions!$C$25)^(G5-2000)/1000</f>
        <v>1298.3916451343091</v>
      </c>
      <c r="H16" s="127">
        <f>1/3*Assumptions!$C$18*Assumptions!$C$11*Assumptions!$C$8/1000*(1+Assumptions!$C$25)^(H5-2000)+Assumptions!$C$19*Assumptions!$C$17*(1+Assumptions!$C$25)^(H5-2000)/1000</f>
        <v>1337.3433944883384</v>
      </c>
      <c r="I16" s="127">
        <f>1/3*Assumptions!$C$18*Assumptions!$C$11*Assumptions!$C$8/1000*(1+Assumptions!$C$25)^(I5-2000)+Assumptions!$C$19*Assumptions!$C$17*(1+Assumptions!$C$25)^(I5-2000)/1000</f>
        <v>1377.4636963229882</v>
      </c>
      <c r="J16" s="127">
        <f>1/3*Assumptions!$C$18*Assumptions!$C$11*Assumptions!$C$8/1000*(1+Assumptions!$C$25)^(J5-2000)+Assumptions!$C$19*Assumptions!$C$17*(1+Assumptions!$C$25)^(J5-2000)/1000</f>
        <v>1418.787607212678</v>
      </c>
      <c r="K16" s="127">
        <f>1/3*Assumptions!$C$18*Assumptions!$C$11*Assumptions!$C$8/1000*(1+Assumptions!$C$25)^(K5-2000)+Assumptions!$C$19*Assumptions!$C$17*(1+Assumptions!$C$25)^(K5-2000)/1000</f>
        <v>1461.3512354290585</v>
      </c>
      <c r="L16" s="127">
        <f>1/3*Assumptions!$C$18*Assumptions!$C$11*Assumptions!$C$8/1000*(1+Assumptions!$C$25)^(L5-2000)+Assumptions!$C$19*Assumptions!$C$17*(1+Assumptions!$C$25)^(L5-2000)/1000</f>
        <v>1505.1917724919304</v>
      </c>
      <c r="M16" s="127">
        <f>1/3*Assumptions!$C$18*Assumptions!$C$11*Assumptions!$C$8/1000*(1+Assumptions!$C$25)^(M5-2000)+Assumptions!$C$19*Assumptions!$C$17*(1+Assumptions!$C$25)^(M5-2000)/1000</f>
        <v>1550.3475256666879</v>
      </c>
      <c r="N16" s="127">
        <f>1/3*Assumptions!$C$18*Assumptions!$C$11*Assumptions!$C$8/1000*(1+Assumptions!$C$25)^(N5-2000)+Assumptions!$C$19*Assumptions!$C$17*(1+Assumptions!$C$25)^(N5-2000)/1000</f>
        <v>1596.8579514366886</v>
      </c>
      <c r="O16" s="127">
        <f>1/3*Assumptions!$C$18*Assumptions!$C$11*Assumptions!$C$8/1000*(1+Assumptions!$C$25)^(O5-2000)+Assumptions!$C$19*Assumptions!$C$17*(1+Assumptions!$C$25)^(O5-2000)/1000</f>
        <v>1644.7636899797892</v>
      </c>
      <c r="P16" s="127">
        <f>1/3*Assumptions!$C$18*Assumptions!$C$11*Assumptions!$C$8/1000*(1+Assumptions!$C$25)^(P5-2000)+Assumptions!$C$19*Assumptions!$C$17*(1+Assumptions!$C$25)^(P5-2000)/1000</f>
        <v>1694.1066006791832</v>
      </c>
      <c r="Q16" s="127">
        <f>1/3*Assumptions!$C$18*Assumptions!$C$11*Assumptions!$C$8/1000*(1+Assumptions!$C$25)^(Q5-2000)+Assumptions!$C$19*Assumptions!$C$17*(1+Assumptions!$C$25)^(Q5-2000)/1000</f>
        <v>1744.9297986995584</v>
      </c>
      <c r="R16" s="127">
        <f>1/3*Assumptions!$C$18*Assumptions!$C$11*Assumptions!$C$8/1000*(1+Assumptions!$C$25)^(R5-2000)+Assumptions!$C$19*Assumptions!$C$17*(1+Assumptions!$C$25)^(R5-2000)/1000</f>
        <v>1797.2776926605452</v>
      </c>
      <c r="S16" s="127">
        <f>1/3*Assumptions!$C$18*Assumptions!$C$11*Assumptions!$C$8/1000*(1+Assumptions!$C$25)^(S5-2000)+Assumptions!$C$19*Assumptions!$C$17*(1+Assumptions!$C$25)^(S5-2000)/1000</f>
        <v>1851.1960234403614</v>
      </c>
      <c r="T16" s="127">
        <f>1/3*Assumptions!$C$18*Assumptions!$C$11*Assumptions!$C$8/1000*(1+Assumptions!$C$25)^(T5-2000)+Assumptions!$C$19*Assumptions!$C$17*(1+Assumptions!$C$25)^(T5-2000)/1000</f>
        <v>1906.7319041435724</v>
      </c>
      <c r="U16" s="127">
        <f>1/3*Assumptions!$C$18*Assumptions!$C$11*Assumptions!$C$8/1000*(1+Assumptions!$C$25)^(U5-2000)+Assumptions!$C$19*Assumptions!$C$17*(1+Assumptions!$C$25)^(U5-2000)/1000</f>
        <v>1963.9338612678794</v>
      </c>
      <c r="W16" s="91">
        <f>SUM(B16:U16)</f>
        <v>26633.10746496237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239.33555647057702</v>
      </c>
      <c r="C18" s="198">
        <f>(SUM(C9:C11)-SUM(C22:C27))*'Summary Output'!$B$29/4</f>
        <v>238.11645424824201</v>
      </c>
      <c r="D18" s="198">
        <f>(SUM(D9:D11)-SUM(D22:D27))*'Summary Output'!$B$29/4</f>
        <v>237.47462345949086</v>
      </c>
      <c r="E18" s="198">
        <f>(SUM(E9:E16)-SUM(E22:E27))*'Summary Output'!$B$29/4</f>
        <v>398.87379048964789</v>
      </c>
      <c r="F18" s="198">
        <f>(SUM(F9:F16)-SUM(F22:F27))*'Summary Output'!$B$29/4</f>
        <v>419.95099200575146</v>
      </c>
      <c r="G18" s="198">
        <f>(SUM(G9:G16)-SUM(G22:G27))*'Summary Output'!$B$29/4</f>
        <v>425.06590415928508</v>
      </c>
      <c r="H18" s="198">
        <f>(SUM(H9:H16)-SUM(H22:H27))*'Summary Output'!$B$29/4</f>
        <v>430.22700352171125</v>
      </c>
      <c r="I18" s="198">
        <f>(SUM(I9:I16)-SUM(I22:I27))*'Summary Output'!$B$29/4</f>
        <v>435.43436818712263</v>
      </c>
      <c r="J18" s="198">
        <f>(SUM(J9:J16)-SUM(J22:J27))*'Summary Output'!$B$29/4</f>
        <v>440.68806182515482</v>
      </c>
      <c r="K18" s="198">
        <f>(SUM(K9:K16)-SUM(K22:K27))*'Summary Output'!$B$29/4</f>
        <v>445.98813303323305</v>
      </c>
      <c r="L18" s="198">
        <f>(SUM(L9:L16)-SUM(L22:L27))*'Summary Output'!$B$29/4</f>
        <v>454.34333042688905</v>
      </c>
      <c r="M18" s="198">
        <f>(SUM(M9:M16)-SUM(M22:M27))*'Summary Output'!$B$29/4</f>
        <v>462.84046893985743</v>
      </c>
      <c r="N18" s="198">
        <f>(SUM(N9:N16)-SUM(N22:N27))*'Summary Output'!$B$29/4</f>
        <v>471.48184995251569</v>
      </c>
      <c r="O18" s="198">
        <f>(SUM(O9:O16)-SUM(O22:O27))*'Summary Output'!$B$29/4</f>
        <v>480.26980685877243</v>
      </c>
      <c r="P18" s="198">
        <f>(SUM(P9:P16)-SUM(P22:P27))*'Summary Output'!$B$29/4</f>
        <v>488.54860156108191</v>
      </c>
      <c r="Q18" s="198">
        <f>(SUM(Q9:Q16)-SUM(Q22:Q27))*'Summary Output'!$B$29/4</f>
        <v>495.00782845258522</v>
      </c>
      <c r="R18" s="198">
        <f>(SUM(R9:R16)-SUM(R22:R27))*'Summary Output'!$B$29/4</f>
        <v>501.53498043678229</v>
      </c>
      <c r="S18" s="198">
        <f>(SUM(S9:S16)-SUM(S22:S27))*'Summary Output'!$B$29/4</f>
        <v>508.13038141707131</v>
      </c>
      <c r="T18" s="198">
        <f>(SUM(T9:T16)-SUM(T22:T27))*'Summary Output'!$B$29/4</f>
        <v>514.79434068432761</v>
      </c>
      <c r="U18" s="198">
        <f>(SUM(U9:U16)-SUM(U22:U27))*'Summary Output'!$B$29/4</f>
        <v>521.64287720244999</v>
      </c>
      <c r="W18" s="91">
        <f>SUM(B18:U18)</f>
        <v>8609.7493533325505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31769.297550003979</v>
      </c>
      <c r="C19" s="56">
        <f t="shared" ref="C19:U19" si="4">SUM(C9:C18)</f>
        <v>31810.94856894156</v>
      </c>
      <c r="D19" s="56">
        <f t="shared" si="4"/>
        <v>31854.46296294752</v>
      </c>
      <c r="E19" s="56">
        <f t="shared" si="4"/>
        <v>36905.633087735994</v>
      </c>
      <c r="F19" s="56">
        <f t="shared" si="4"/>
        <v>38712.97732326456</v>
      </c>
      <c r="G19" s="56">
        <f t="shared" si="4"/>
        <v>39230.802753695272</v>
      </c>
      <c r="H19" s="56">
        <f t="shared" si="4"/>
        <v>39755.898780314696</v>
      </c>
      <c r="I19" s="56">
        <f t="shared" si="4"/>
        <v>40288.377611712407</v>
      </c>
      <c r="J19" s="56">
        <f t="shared" si="4"/>
        <v>40828.353464585962</v>
      </c>
      <c r="K19" s="56">
        <f t="shared" si="4"/>
        <v>41375.942606567631</v>
      </c>
      <c r="L19" s="56">
        <f t="shared" si="4"/>
        <v>42174.969376693494</v>
      </c>
      <c r="M19" s="56">
        <f t="shared" si="4"/>
        <v>42989.584956809442</v>
      </c>
      <c r="N19" s="56">
        <f t="shared" si="4"/>
        <v>43820.098506105816</v>
      </c>
      <c r="O19" s="56">
        <f t="shared" si="4"/>
        <v>44666.82545929039</v>
      </c>
      <c r="P19" s="56">
        <f t="shared" si="4"/>
        <v>45529.429554336777</v>
      </c>
      <c r="Q19" s="56">
        <f t="shared" si="4"/>
        <v>46205.158430129813</v>
      </c>
      <c r="R19" s="56">
        <f t="shared" si="4"/>
        <v>46891.303559586828</v>
      </c>
      <c r="S19" s="56">
        <f t="shared" si="4"/>
        <v>47588.036897924554</v>
      </c>
      <c r="T19" s="56">
        <f t="shared" si="4"/>
        <v>48295.533554104724</v>
      </c>
      <c r="U19" s="56">
        <f t="shared" si="4"/>
        <v>49014.087581912616</v>
      </c>
      <c r="W19" s="91">
        <f>SUM(B19:U19)</f>
        <v>829707.72258666414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</row>
    <row r="22" spans="1:55">
      <c r="A22" s="3" t="s">
        <v>48</v>
      </c>
      <c r="B22" s="127">
        <f>Assumptions!C28*(1+Assumptions!$C$25)</f>
        <v>1610.5404141000004</v>
      </c>
      <c r="C22" s="91">
        <f>B22*(1+Assumptions!$C$25)</f>
        <v>1658.8566265230004</v>
      </c>
      <c r="D22" s="91">
        <f>C22*(1+Assumptions!$C$25)</f>
        <v>1708.6223253186904</v>
      </c>
      <c r="E22" s="91">
        <f>D22*(1+Assumptions!$C$25)</f>
        <v>1759.8809950782511</v>
      </c>
      <c r="F22" s="91">
        <f>E22*(1+Assumptions!$C$25)</f>
        <v>1812.6774249305986</v>
      </c>
      <c r="G22" s="91">
        <f>F22*(1+Assumptions!$C$25)</f>
        <v>1867.0577476785165</v>
      </c>
      <c r="H22" s="91">
        <f>G22*(1+Assumptions!$C$25)</f>
        <v>1923.0694801088721</v>
      </c>
      <c r="I22" s="91">
        <f>H22*(1+Assumptions!$C$25)</f>
        <v>1980.7615645121382</v>
      </c>
      <c r="J22" s="91">
        <f>I22*(1+Assumptions!$C$25)</f>
        <v>2040.1844114475025</v>
      </c>
      <c r="K22" s="91">
        <f>J22*(1+Assumptions!$C$25)</f>
        <v>2101.3899437909276</v>
      </c>
      <c r="L22" s="91">
        <f>K22*(1+Assumptions!$C$25)</f>
        <v>2164.4316421046556</v>
      </c>
      <c r="M22" s="91">
        <f>L22*(1+Assumptions!$C$25)</f>
        <v>2229.3645913677951</v>
      </c>
      <c r="N22" s="91">
        <f>M22*(1+Assumptions!$C$25)</f>
        <v>2296.245529108829</v>
      </c>
      <c r="O22" s="91">
        <f>N22*(1+Assumptions!$C$25)</f>
        <v>2365.1328949820941</v>
      </c>
      <c r="P22" s="91">
        <f>O22*(1+Assumptions!$C$25)</f>
        <v>2436.0868818315571</v>
      </c>
      <c r="Q22" s="91">
        <f>P22*(1+Assumptions!$C$25)</f>
        <v>2509.169488286504</v>
      </c>
      <c r="R22" s="91">
        <f>Q22*(1+Assumptions!$C$25)</f>
        <v>2584.4445729350991</v>
      </c>
      <c r="S22" s="91">
        <f>R22*(1+Assumptions!$C$25)</f>
        <v>2661.977910123152</v>
      </c>
      <c r="T22" s="91">
        <f>S22*(1+Assumptions!$C$25)</f>
        <v>2741.8372474268467</v>
      </c>
      <c r="U22" s="91">
        <f>T22*(1+Assumptions!$C$25)</f>
        <v>2824.0923648496523</v>
      </c>
      <c r="W22" s="91">
        <f t="shared" ref="W22:W28" si="5">SUM(B22:U22)</f>
        <v>43275.824056504687</v>
      </c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</row>
    <row r="23" spans="1:55">
      <c r="A23" s="3" t="s">
        <v>49</v>
      </c>
      <c r="B23" s="127">
        <f>Assumptions!$C$29*(1+Assumptions!$C$25)</f>
        <v>965.50403866386125</v>
      </c>
      <c r="C23" s="127">
        <f>B23*(1+Assumptions!$C$25)</f>
        <v>994.46915982377709</v>
      </c>
      <c r="D23" s="127">
        <f>C23*(1+Assumptions!$C$25)</f>
        <v>1024.3032346184905</v>
      </c>
      <c r="E23" s="127">
        <f>Assumptions!$C$19*Assumptions!$C$23*(1+Assumptions!$C$25)^(E5-2000)/1000</f>
        <v>1055.032331657045</v>
      </c>
      <c r="F23" s="127">
        <f>Assumptions!$C$19*Assumptions!$C$23*(1+Assumptions!$C$25)^(F5-2000)/1000</f>
        <v>1086.6833016067565</v>
      </c>
      <c r="G23" s="127">
        <f>Assumptions!$C$19*Assumptions!$C$23*(1+Assumptions!$C$25)^(G5-2000)/1000</f>
        <v>1119.2838006549591</v>
      </c>
      <c r="H23" s="127">
        <f>Assumptions!$C$19*Assumptions!$C$23*(1+Assumptions!$C$25)^(H5-2000)/1000</f>
        <v>1152.8623146746079</v>
      </c>
      <c r="I23" s="127">
        <f>Assumptions!$C$19*Assumptions!$C$23*(1+Assumptions!$C$25)^(I5-2000)/1000</f>
        <v>1187.4481841148458</v>
      </c>
      <c r="J23" s="127">
        <f>Assumptions!$C$19*Assumptions!$C$23*(1+Assumptions!$C$25)^(J5-2000)/1000</f>
        <v>1223.0716296382914</v>
      </c>
      <c r="K23" s="127">
        <f>Assumptions!$C$19*Assumptions!$C$23*(1+Assumptions!$C$25)^(K5-2000)/1000</f>
        <v>1259.7637785274403</v>
      </c>
      <c r="L23" s="127">
        <f>Assumptions!$C$19*Assumptions!$C$23*(1+Assumptions!$C$25)^(L5-2000)/1000</f>
        <v>1297.5566918832635</v>
      </c>
      <c r="M23" s="127">
        <f>Assumptions!$C$19*Assumptions!$C$23*(1+Assumptions!$C$25)^(M5-2000)/1000</f>
        <v>1336.4833926397612</v>
      </c>
      <c r="N23" s="127">
        <f>Assumptions!$C$19*Assumptions!$C$23*(1+Assumptions!$C$25)^(N5-2000)/1000</f>
        <v>1376.577894418954</v>
      </c>
      <c r="O23" s="127">
        <f>Assumptions!$C$19*Assumptions!$C$23*(1+Assumptions!$C$25)^(O5-2000)/1000</f>
        <v>1417.8752312515226</v>
      </c>
      <c r="P23" s="127">
        <f>Assumptions!$C$19*Assumptions!$C$23*(1+Assumptions!$C$25)^(P5-2000)/1000</f>
        <v>1460.4114881890685</v>
      </c>
      <c r="Q23" s="127">
        <f>Assumptions!$C$19*Assumptions!$C$23*(1+Assumptions!$C$25)^(Q5-2000)/1000</f>
        <v>1504.2238328347403</v>
      </c>
      <c r="R23" s="127">
        <f>Assumptions!$C$19*Assumptions!$C$23*(1+Assumptions!$C$25)^(R5-2000)/1000</f>
        <v>1549.3505478197826</v>
      </c>
      <c r="S23" s="127">
        <f>Assumptions!$C$19*Assumptions!$C$23*(1+Assumptions!$C$25)^(S5-2000)/1000</f>
        <v>1595.8310642543759</v>
      </c>
      <c r="T23" s="127">
        <f>Assumptions!$C$19*Assumptions!$C$23*(1+Assumptions!$C$25)^(T5-2000)/1000</f>
        <v>1643.7059961820073</v>
      </c>
      <c r="U23" s="127">
        <f>Assumptions!$C$19*Assumptions!$C$23*(1+Assumptions!$C$25)^(U5-2000)/1000</f>
        <v>1693.0171760674673</v>
      </c>
      <c r="W23" s="91">
        <f t="shared" si="5"/>
        <v>25943.455089521016</v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</row>
    <row r="24" spans="1:55">
      <c r="A24" s="3" t="s">
        <v>256</v>
      </c>
      <c r="B24" s="127">
        <f>Assumptions!$C$24*Assumptions!$C$11*Assumptions!$C$8/1000*(1+Assumptions!$C$25)</f>
        <v>463.5</v>
      </c>
      <c r="C24" s="91">
        <f>B24*(1+Assumptions!$C$25)</f>
        <v>477.40500000000003</v>
      </c>
      <c r="D24" s="91">
        <f>C24*(1+Assumptions!$C$25)</f>
        <v>491.72715000000005</v>
      </c>
      <c r="E24" s="91">
        <f>D24*(1+Assumptions!$C$25)</f>
        <v>506.47896450000007</v>
      </c>
      <c r="F24" s="91">
        <f>E24*(1+Assumptions!$C$25)</f>
        <v>521.67333343500013</v>
      </c>
      <c r="G24" s="91">
        <f>F24*(1+Assumptions!$C$25)</f>
        <v>537.32353343805016</v>
      </c>
      <c r="H24" s="91">
        <f>G24*(1+Assumptions!$C$25)</f>
        <v>553.44323944119174</v>
      </c>
      <c r="I24" s="91">
        <f>H24*(1+Assumptions!$C$25)</f>
        <v>570.04653662442752</v>
      </c>
      <c r="J24" s="91">
        <f>I24*(1+Assumptions!$C$25)</f>
        <v>587.14793272316035</v>
      </c>
      <c r="K24" s="91">
        <f>J24*(1+Assumptions!$C$25)</f>
        <v>604.76237070485513</v>
      </c>
      <c r="L24" s="91">
        <f>K24*(1+Assumptions!$C$25)</f>
        <v>622.90524182600075</v>
      </c>
      <c r="M24" s="91">
        <f>L24*(1+Assumptions!$C$25)</f>
        <v>641.59239908078075</v>
      </c>
      <c r="N24" s="91">
        <f>M24*(1+Assumptions!$C$25)</f>
        <v>660.84017105320424</v>
      </c>
      <c r="O24" s="91">
        <f>N24*(1+Assumptions!$C$25)</f>
        <v>680.66537618480038</v>
      </c>
      <c r="P24" s="91">
        <f>O24*(1+Assumptions!$C$25)</f>
        <v>701.08533747034437</v>
      </c>
      <c r="Q24" s="91">
        <f>P24*(1+Assumptions!$C$25)</f>
        <v>722.11789759445469</v>
      </c>
      <c r="R24" s="91">
        <f>Q24*(1+Assumptions!$C$25)</f>
        <v>743.78143452228835</v>
      </c>
      <c r="S24" s="91">
        <f>R24*(1+Assumptions!$C$25)</f>
        <v>766.09487755795703</v>
      </c>
      <c r="T24" s="91">
        <f>S24*(1+Assumptions!$C$25)</f>
        <v>789.07772388469573</v>
      </c>
      <c r="U24" s="91">
        <f>T24*(1+Assumptions!$C$25)</f>
        <v>812.75005560123657</v>
      </c>
      <c r="W24" s="91">
        <f t="shared" si="5"/>
        <v>12454.418575642445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</row>
    <row r="25" spans="1:55">
      <c r="A25" s="3" t="s">
        <v>112</v>
      </c>
      <c r="B25" s="127">
        <f>Assumptions!C31*(1+Assumptions!$C$25)</f>
        <v>444.73872166666666</v>
      </c>
      <c r="C25" s="91">
        <f>B25*(1+Assumptions!$C$25)</f>
        <v>458.0808833166667</v>
      </c>
      <c r="D25" s="91">
        <f>C25*(1+Assumptions!$C$25)</f>
        <v>471.82330981616673</v>
      </c>
      <c r="E25" s="91">
        <f>D25*(1+Assumptions!$C$25)</f>
        <v>485.97800911065173</v>
      </c>
      <c r="F25" s="91">
        <f>E25*(1+Assumptions!$C$25)</f>
        <v>500.55734938397131</v>
      </c>
      <c r="G25" s="91">
        <f>F25*(1+Assumptions!$C$25)</f>
        <v>515.57406986549051</v>
      </c>
      <c r="H25" s="91">
        <f>G25*(1+Assumptions!$C$25)</f>
        <v>531.04129196145527</v>
      </c>
      <c r="I25" s="91">
        <f>H25*(1+Assumptions!$C$25)</f>
        <v>546.97253072029889</v>
      </c>
      <c r="J25" s="91">
        <f>I25*(1+Assumptions!$C$25)</f>
        <v>563.38170664190784</v>
      </c>
      <c r="K25" s="91">
        <f>J25*(1+Assumptions!$C$25)</f>
        <v>580.28315784116512</v>
      </c>
      <c r="L25" s="91">
        <f>K25*(1+Assumptions!$C$25)</f>
        <v>597.69165257640009</v>
      </c>
      <c r="M25" s="91">
        <f>L25*(1+Assumptions!$C$25)</f>
        <v>615.62240215369206</v>
      </c>
      <c r="N25" s="91">
        <f>M25*(1+Assumptions!$C$25)</f>
        <v>634.09107421830288</v>
      </c>
      <c r="O25" s="91">
        <f>N25*(1+Assumptions!$C$25)</f>
        <v>653.113806444852</v>
      </c>
      <c r="P25" s="91">
        <f>O25*(1+Assumptions!$C$25)</f>
        <v>672.70722063819755</v>
      </c>
      <c r="Q25" s="91">
        <f>P25*(1+Assumptions!$C$25)</f>
        <v>692.88843725734353</v>
      </c>
      <c r="R25" s="91">
        <f>Q25*(1+Assumptions!$C$25)</f>
        <v>713.67509037506386</v>
      </c>
      <c r="S25" s="91">
        <f>R25*(1+Assumptions!$C$25)</f>
        <v>735.08534308631579</v>
      </c>
      <c r="T25" s="91">
        <f>S25*(1+Assumptions!$C$25)</f>
        <v>757.13790337890532</v>
      </c>
      <c r="U25" s="91">
        <f>T25*(1+Assumptions!$C$25)</f>
        <v>779.85204048027254</v>
      </c>
      <c r="W25" s="91">
        <f t="shared" si="5"/>
        <v>11950.296000933786</v>
      </c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</row>
    <row r="26" spans="1:55">
      <c r="A26" s="3" t="s">
        <v>189</v>
      </c>
      <c r="B26" s="456">
        <v>325</v>
      </c>
      <c r="C26" s="456">
        <v>375</v>
      </c>
      <c r="D26" s="456">
        <v>375</v>
      </c>
      <c r="E26" s="456">
        <v>375</v>
      </c>
      <c r="F26" s="456">
        <v>375</v>
      </c>
      <c r="G26" s="456">
        <v>375</v>
      </c>
      <c r="H26" s="456">
        <v>375</v>
      </c>
      <c r="I26" s="456">
        <v>375</v>
      </c>
      <c r="J26" s="456">
        <v>375</v>
      </c>
      <c r="K26" s="456">
        <v>375</v>
      </c>
      <c r="L26" s="456">
        <v>375</v>
      </c>
      <c r="M26" s="456">
        <v>375</v>
      </c>
      <c r="N26" s="456">
        <v>375</v>
      </c>
      <c r="O26" s="456">
        <v>375</v>
      </c>
      <c r="P26" s="456">
        <v>427.64830117962356</v>
      </c>
      <c r="Q26" s="456">
        <v>436.20126720321605</v>
      </c>
      <c r="R26" s="456">
        <v>444.92529254728038</v>
      </c>
      <c r="S26" s="456">
        <v>453.82379839822596</v>
      </c>
      <c r="T26" s="456">
        <v>462.9002743661905</v>
      </c>
      <c r="U26" s="456">
        <f>T26</f>
        <v>462.9002743661905</v>
      </c>
      <c r="W26" s="91">
        <f t="shared" si="5"/>
        <v>7888.3992080607268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</row>
    <row r="27" spans="1:55" s="16" customFormat="1">
      <c r="A27" s="3" t="s">
        <v>185</v>
      </c>
      <c r="B27" s="146">
        <f>B84</f>
        <v>456.87634658717172</v>
      </c>
      <c r="C27" s="146">
        <f t="shared" ref="C27:U27" si="6">C84</f>
        <v>442.74615030097056</v>
      </c>
      <c r="D27" s="146">
        <f t="shared" si="6"/>
        <v>430.58448810587538</v>
      </c>
      <c r="E27" s="146">
        <f t="shared" si="6"/>
        <v>414.48575772856822</v>
      </c>
      <c r="F27" s="146">
        <f t="shared" si="6"/>
        <v>400.35556144236705</v>
      </c>
      <c r="G27" s="146">
        <f t="shared" si="6"/>
        <v>386.22536515616588</v>
      </c>
      <c r="H27" s="146">
        <f t="shared" si="6"/>
        <v>372.09516886996471</v>
      </c>
      <c r="I27" s="146">
        <f t="shared" si="6"/>
        <v>357.96497258376354</v>
      </c>
      <c r="J27" s="146">
        <f t="shared" si="6"/>
        <v>343.83477629756237</v>
      </c>
      <c r="K27" s="146">
        <f t="shared" si="6"/>
        <v>329.7045800113612</v>
      </c>
      <c r="L27" s="146">
        <f t="shared" si="6"/>
        <v>315.57438372516003</v>
      </c>
      <c r="M27" s="146">
        <f t="shared" si="6"/>
        <v>301.44418743895886</v>
      </c>
      <c r="N27" s="146">
        <f t="shared" si="6"/>
        <v>287.31399115275769</v>
      </c>
      <c r="O27" s="146">
        <f t="shared" si="6"/>
        <v>273.18379486655647</v>
      </c>
      <c r="P27" s="146">
        <f t="shared" si="6"/>
        <v>259.0535985803553</v>
      </c>
      <c r="Q27" s="146">
        <f t="shared" si="6"/>
        <v>244.92340229415416</v>
      </c>
      <c r="R27" s="146">
        <f t="shared" si="6"/>
        <v>230.79320600795299</v>
      </c>
      <c r="S27" s="146">
        <f t="shared" si="6"/>
        <v>216.66300972175182</v>
      </c>
      <c r="T27" s="146">
        <f t="shared" si="6"/>
        <v>202.53281343555065</v>
      </c>
      <c r="U27" s="146">
        <f t="shared" si="6"/>
        <v>188.40261714934945</v>
      </c>
      <c r="V27" s="91"/>
      <c r="W27" s="91">
        <f t="shared" si="5"/>
        <v>6454.7581714563175</v>
      </c>
    </row>
    <row r="28" spans="1:55">
      <c r="A28" s="3" t="s">
        <v>62</v>
      </c>
      <c r="B28" s="127">
        <f t="shared" ref="B28:U28" si="7">SUM(B22:B27)</f>
        <v>4266.1595210177002</v>
      </c>
      <c r="C28" s="127">
        <f t="shared" si="7"/>
        <v>4406.5578199644151</v>
      </c>
      <c r="D28" s="127">
        <f t="shared" si="7"/>
        <v>4502.0605078592234</v>
      </c>
      <c r="E28" s="127">
        <f t="shared" si="7"/>
        <v>4596.856058074517</v>
      </c>
      <c r="F28" s="127">
        <f t="shared" si="7"/>
        <v>4696.9469707986927</v>
      </c>
      <c r="G28" s="127">
        <f t="shared" si="7"/>
        <v>4800.4645167931822</v>
      </c>
      <c r="H28" s="127">
        <f t="shared" si="7"/>
        <v>4907.511495056091</v>
      </c>
      <c r="I28" s="127">
        <f t="shared" si="7"/>
        <v>5018.1937885554735</v>
      </c>
      <c r="J28" s="127">
        <f t="shared" si="7"/>
        <v>5132.6204567484256</v>
      </c>
      <c r="K28" s="127">
        <f t="shared" si="7"/>
        <v>5250.903830875749</v>
      </c>
      <c r="L28" s="127">
        <f t="shared" si="7"/>
        <v>5373.1596121154798</v>
      </c>
      <c r="M28" s="127">
        <f t="shared" si="7"/>
        <v>5499.506972680987</v>
      </c>
      <c r="N28" s="127">
        <f t="shared" si="7"/>
        <v>5630.0686599520486</v>
      </c>
      <c r="O28" s="127">
        <f t="shared" si="7"/>
        <v>5764.9711037298257</v>
      </c>
      <c r="P28" s="127">
        <f t="shared" si="7"/>
        <v>5956.9928278891466</v>
      </c>
      <c r="Q28" s="127">
        <f t="shared" si="7"/>
        <v>6109.5243254704137</v>
      </c>
      <c r="R28" s="127">
        <f t="shared" si="7"/>
        <v>6266.9701442074665</v>
      </c>
      <c r="S28" s="127">
        <f t="shared" si="7"/>
        <v>6429.4760031417791</v>
      </c>
      <c r="T28" s="127">
        <f t="shared" si="7"/>
        <v>6597.191958674196</v>
      </c>
      <c r="U28" s="127">
        <f t="shared" si="7"/>
        <v>6761.0145285141689</v>
      </c>
      <c r="W28" s="91">
        <f t="shared" si="5"/>
        <v>107967.15110211898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</row>
    <row r="29" spans="1:55" s="62" customFormat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</row>
    <row r="31" spans="1:55" s="57" customFormat="1">
      <c r="A31" s="1" t="s">
        <v>63</v>
      </c>
      <c r="B31" s="132">
        <f t="shared" ref="B31:U31" si="8">B19-B28</f>
        <v>27503.138028986279</v>
      </c>
      <c r="C31" s="133">
        <f t="shared" si="8"/>
        <v>27404.390748977145</v>
      </c>
      <c r="D31" s="132">
        <f t="shared" si="8"/>
        <v>27352.402455088297</v>
      </c>
      <c r="E31" s="132">
        <f t="shared" si="8"/>
        <v>32308.777029661476</v>
      </c>
      <c r="F31" s="132">
        <f t="shared" si="8"/>
        <v>34016.030352465867</v>
      </c>
      <c r="G31" s="132">
        <f t="shared" si="8"/>
        <v>34430.338236902091</v>
      </c>
      <c r="H31" s="132">
        <f t="shared" si="8"/>
        <v>34848.387285258606</v>
      </c>
      <c r="I31" s="132">
        <f t="shared" si="8"/>
        <v>35270.183823156935</v>
      </c>
      <c r="J31" s="132">
        <f t="shared" si="8"/>
        <v>35695.733007837538</v>
      </c>
      <c r="K31" s="132">
        <f t="shared" si="8"/>
        <v>36125.038775691879</v>
      </c>
      <c r="L31" s="132">
        <f t="shared" si="8"/>
        <v>36801.809764578014</v>
      </c>
      <c r="M31" s="132">
        <f t="shared" si="8"/>
        <v>37490.077984128453</v>
      </c>
      <c r="N31" s="132">
        <f t="shared" si="8"/>
        <v>38190.029846153768</v>
      </c>
      <c r="O31" s="132">
        <f t="shared" si="8"/>
        <v>38901.854355560565</v>
      </c>
      <c r="P31" s="132">
        <f t="shared" si="8"/>
        <v>39572.436726447631</v>
      </c>
      <c r="Q31" s="132">
        <f t="shared" si="8"/>
        <v>40095.634104659403</v>
      </c>
      <c r="R31" s="132">
        <f t="shared" si="8"/>
        <v>40624.333415379362</v>
      </c>
      <c r="S31" s="132">
        <f t="shared" si="8"/>
        <v>41158.560894782771</v>
      </c>
      <c r="T31" s="132">
        <f t="shared" si="8"/>
        <v>41698.341595430531</v>
      </c>
      <c r="U31" s="132">
        <f t="shared" si="8"/>
        <v>42253.073053398446</v>
      </c>
      <c r="W31" s="91">
        <f>SUM(B31:U31)</f>
        <v>721740.57148454501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</row>
    <row r="33" spans="1:55">
      <c r="A33" s="3" t="s">
        <v>64</v>
      </c>
      <c r="B33" s="127">
        <f>Depreciation!C13</f>
        <v>5652.078514480475</v>
      </c>
      <c r="C33" s="127">
        <f>Depreciation!D13</f>
        <v>5652.078514480475</v>
      </c>
      <c r="D33" s="127">
        <f>Depreciation!E13</f>
        <v>5652.078514480475</v>
      </c>
      <c r="E33" s="127">
        <f>Depreciation!F13</f>
        <v>5652.078514480475</v>
      </c>
      <c r="F33" s="127">
        <f>Depreciation!G13</f>
        <v>5652.078514480475</v>
      </c>
      <c r="G33" s="127">
        <f>Depreciation!H13</f>
        <v>5652.078514480475</v>
      </c>
      <c r="H33" s="127">
        <f>Depreciation!I13</f>
        <v>5652.078514480475</v>
      </c>
      <c r="I33" s="127">
        <f>Depreciation!J13</f>
        <v>5652.078514480475</v>
      </c>
      <c r="J33" s="127">
        <f>Depreciation!K13</f>
        <v>5652.078514480475</v>
      </c>
      <c r="K33" s="127">
        <f>Depreciation!L13</f>
        <v>5652.078514480475</v>
      </c>
      <c r="L33" s="127">
        <f>Depreciation!M13</f>
        <v>5652.078514480475</v>
      </c>
      <c r="M33" s="127">
        <f>Depreciation!N13</f>
        <v>5652.078514480475</v>
      </c>
      <c r="N33" s="127">
        <f>Depreciation!O13</f>
        <v>5652.078514480475</v>
      </c>
      <c r="O33" s="127">
        <f>Depreciation!P13</f>
        <v>5652.078514480475</v>
      </c>
      <c r="P33" s="127">
        <f>Depreciation!Q13</f>
        <v>5652.078514480475</v>
      </c>
      <c r="Q33" s="127">
        <f>Depreciation!R13</f>
        <v>5652.078514480475</v>
      </c>
      <c r="R33" s="127">
        <f>Depreciation!S13</f>
        <v>5652.078514480475</v>
      </c>
      <c r="S33" s="127">
        <f>Depreciation!T13</f>
        <v>5652.078514480475</v>
      </c>
      <c r="T33" s="127">
        <f>Depreciation!U13</f>
        <v>5652.078514480475</v>
      </c>
      <c r="U33" s="127">
        <f>Depreciation!V13</f>
        <v>5652.078514480475</v>
      </c>
      <c r="W33" s="91">
        <f>SUM(B33:U33)</f>
        <v>113041.57028960944</v>
      </c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</row>
    <row r="34" spans="1:55" ht="7.5" customHeight="1">
      <c r="A34" s="3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</row>
    <row r="35" spans="1:55" s="57" customFormat="1">
      <c r="A35" s="1" t="s">
        <v>65</v>
      </c>
      <c r="B35" s="132">
        <f t="shared" ref="B35:U35" si="9">B31-B33</f>
        <v>21851.059514505803</v>
      </c>
      <c r="C35" s="132">
        <f t="shared" si="9"/>
        <v>21752.312234496669</v>
      </c>
      <c r="D35" s="132">
        <f t="shared" si="9"/>
        <v>21700.323940607821</v>
      </c>
      <c r="E35" s="132">
        <f t="shared" si="9"/>
        <v>26656.698515181</v>
      </c>
      <c r="F35" s="132">
        <f t="shared" si="9"/>
        <v>28363.951837985391</v>
      </c>
      <c r="G35" s="132">
        <f t="shared" si="9"/>
        <v>28778.259722421615</v>
      </c>
      <c r="H35" s="132">
        <f t="shared" si="9"/>
        <v>29196.308770778131</v>
      </c>
      <c r="I35" s="132">
        <f t="shared" si="9"/>
        <v>29618.105308676459</v>
      </c>
      <c r="J35" s="132">
        <f t="shared" si="9"/>
        <v>30043.654493357062</v>
      </c>
      <c r="K35" s="132">
        <f t="shared" si="9"/>
        <v>30472.960261211403</v>
      </c>
      <c r="L35" s="132">
        <f t="shared" si="9"/>
        <v>31149.731250097539</v>
      </c>
      <c r="M35" s="132">
        <f t="shared" si="9"/>
        <v>31837.999469647977</v>
      </c>
      <c r="N35" s="132">
        <f t="shared" si="9"/>
        <v>32537.951331673292</v>
      </c>
      <c r="O35" s="132">
        <f t="shared" si="9"/>
        <v>33249.775841080089</v>
      </c>
      <c r="P35" s="132">
        <f t="shared" si="9"/>
        <v>33920.358211967156</v>
      </c>
      <c r="Q35" s="132">
        <f t="shared" si="9"/>
        <v>34443.555590178927</v>
      </c>
      <c r="R35" s="132">
        <f t="shared" si="9"/>
        <v>34972.254900898886</v>
      </c>
      <c r="S35" s="132">
        <f t="shared" si="9"/>
        <v>35506.482380302295</v>
      </c>
      <c r="T35" s="132">
        <f t="shared" si="9"/>
        <v>36046.263080950055</v>
      </c>
      <c r="U35" s="132">
        <f t="shared" si="9"/>
        <v>36600.99453891797</v>
      </c>
      <c r="W35" s="91">
        <f>SUM(B35:U35)</f>
        <v>608699.00119493564</v>
      </c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</row>
    <row r="36" spans="1:55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</row>
    <row r="37" spans="1:55">
      <c r="A37" s="6" t="s">
        <v>66</v>
      </c>
      <c r="B37" s="127">
        <f>IS!B38*Allocation!$E$7</f>
        <v>12382.562267653238</v>
      </c>
      <c r="C37" s="127">
        <f>IS!C38*Allocation!$E$7</f>
        <v>12196.766322065658</v>
      </c>
      <c r="D37" s="127">
        <f>IS!D38*Allocation!$E$7</f>
        <v>11934.694857798173</v>
      </c>
      <c r="E37" s="127">
        <f>IS!E38*Allocation!$E$7</f>
        <v>11728.969632493878</v>
      </c>
      <c r="F37" s="127">
        <f>IS!F38*Allocation!$E$7</f>
        <v>11364.997871469264</v>
      </c>
      <c r="G37" s="127">
        <f>IS!G38*Allocation!$E$7</f>
        <v>10933.597157420234</v>
      </c>
      <c r="H37" s="127">
        <f>IS!H38*Allocation!$E$7</f>
        <v>10448.760838706417</v>
      </c>
      <c r="I37" s="127">
        <f>IS!I38*Allocation!$E$7</f>
        <v>9941.5330320109479</v>
      </c>
      <c r="J37" s="127">
        <f>IS!J38*Allocation!$E$7</f>
        <v>9311.4769588689869</v>
      </c>
      <c r="K37" s="127">
        <f>IS!K38*Allocation!$E$7</f>
        <v>8613.3278937557552</v>
      </c>
      <c r="L37" s="127">
        <f>IS!L38*Allocation!$E$7</f>
        <v>7878.715574154663</v>
      </c>
      <c r="M37" s="127">
        <f>IS!M38*Allocation!$E$7</f>
        <v>7077.7437474979342</v>
      </c>
      <c r="N37" s="127">
        <f>IS!N38*Allocation!$E$7</f>
        <v>6236.9650941338523</v>
      </c>
      <c r="O37" s="127">
        <f>IS!O38*Allocation!$E$7</f>
        <v>5416.0898541234474</v>
      </c>
      <c r="P37" s="127">
        <f>IS!P38*Allocation!$E$7</f>
        <v>4584.8693371156514</v>
      </c>
      <c r="Q37" s="127">
        <f>IS!Q38*Allocation!$E$7</f>
        <v>3723.4001297567856</v>
      </c>
      <c r="R37" s="127">
        <f>IS!R38*Allocation!$E$7</f>
        <v>2809.6422940958882</v>
      </c>
      <c r="S37" s="127">
        <f>IS!S38*Allocation!$E$7</f>
        <v>1948.0606380740085</v>
      </c>
      <c r="T37" s="127">
        <f>IS!T38*Allocation!$E$7</f>
        <v>1209.2729220646436</v>
      </c>
      <c r="U37" s="127">
        <f>IS!U38*Allocation!$E$7</f>
        <v>472.28438466352077</v>
      </c>
      <c r="W37" s="91">
        <f>SUM(B37:U37)</f>
        <v>150213.7308079229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</row>
    <row r="38" spans="1:55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</row>
    <row r="39" spans="1:55" s="57" customFormat="1">
      <c r="A39" s="1" t="s">
        <v>67</v>
      </c>
      <c r="B39" s="132">
        <f t="shared" ref="B39:U39" si="10">B35-B37</f>
        <v>9468.4972468525648</v>
      </c>
      <c r="C39" s="132">
        <f t="shared" si="10"/>
        <v>9555.5459124310109</v>
      </c>
      <c r="D39" s="132">
        <f t="shared" si="10"/>
        <v>9765.629082809648</v>
      </c>
      <c r="E39" s="132">
        <f t="shared" si="10"/>
        <v>14927.728882687123</v>
      </c>
      <c r="F39" s="132">
        <f t="shared" si="10"/>
        <v>16998.953966516128</v>
      </c>
      <c r="G39" s="132">
        <f t="shared" si="10"/>
        <v>17844.662565001381</v>
      </c>
      <c r="H39" s="132">
        <f t="shared" si="10"/>
        <v>18747.547932071713</v>
      </c>
      <c r="I39" s="132">
        <f t="shared" si="10"/>
        <v>19676.572276665509</v>
      </c>
      <c r="J39" s="132">
        <f t="shared" si="10"/>
        <v>20732.177534488073</v>
      </c>
      <c r="K39" s="132">
        <f t="shared" si="10"/>
        <v>21859.632367455648</v>
      </c>
      <c r="L39" s="132">
        <f t="shared" si="10"/>
        <v>23271.015675942876</v>
      </c>
      <c r="M39" s="132">
        <f t="shared" si="10"/>
        <v>24760.255722150043</v>
      </c>
      <c r="N39" s="132">
        <f t="shared" si="10"/>
        <v>26300.98623753944</v>
      </c>
      <c r="O39" s="132">
        <f t="shared" si="10"/>
        <v>27833.68598695664</v>
      </c>
      <c r="P39" s="132">
        <f t="shared" si="10"/>
        <v>29335.488874851504</v>
      </c>
      <c r="Q39" s="132">
        <f t="shared" si="10"/>
        <v>30720.155460422142</v>
      </c>
      <c r="R39" s="132">
        <f t="shared" si="10"/>
        <v>32162.612606802999</v>
      </c>
      <c r="S39" s="132">
        <f t="shared" si="10"/>
        <v>33558.421742228289</v>
      </c>
      <c r="T39" s="132">
        <f t="shared" si="10"/>
        <v>34836.990158885412</v>
      </c>
      <c r="U39" s="132">
        <f t="shared" si="10"/>
        <v>36128.710154254448</v>
      </c>
      <c r="W39" s="91">
        <f>SUM(B39:U39)</f>
        <v>458485.27038701263</v>
      </c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</row>
    <row r="40" spans="1:55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</row>
    <row r="41" spans="1:55">
      <c r="A41" s="3" t="s">
        <v>68</v>
      </c>
      <c r="B41" s="127">
        <f>B39*-Assumptions!$C$38</f>
        <v>-568.10983481115386</v>
      </c>
      <c r="C41" s="127">
        <f>C39*-Assumptions!$C$38</f>
        <v>-573.3327547458606</v>
      </c>
      <c r="D41" s="127">
        <f>D39*-Assumptions!$C$38</f>
        <v>-585.93774496857884</v>
      </c>
      <c r="E41" s="127">
        <f>E39*-Assumptions!$C$38</f>
        <v>-895.66373296122731</v>
      </c>
      <c r="F41" s="127">
        <f>F39*-Assumptions!$C$38</f>
        <v>-1019.9372379909677</v>
      </c>
      <c r="G41" s="127">
        <f>G39*-Assumptions!$C$38</f>
        <v>-1070.6797539000829</v>
      </c>
      <c r="H41" s="127">
        <f>H39*-Assumptions!$C$38</f>
        <v>-1124.8528759243027</v>
      </c>
      <c r="I41" s="127">
        <f>I39*-Assumptions!$C$38</f>
        <v>-1180.5943365999306</v>
      </c>
      <c r="J41" s="127">
        <f>J39*-Assumptions!$C$38</f>
        <v>-1243.9306520692844</v>
      </c>
      <c r="K41" s="127">
        <f>K39*-Assumptions!$C$38</f>
        <v>-1311.5779420473389</v>
      </c>
      <c r="L41" s="127">
        <f>L39*-Assumptions!$C$38</f>
        <v>-1396.2609405565725</v>
      </c>
      <c r="M41" s="127">
        <f>M39*-Assumptions!$C$38</f>
        <v>-1485.6153433290026</v>
      </c>
      <c r="N41" s="127">
        <f>N39*-Assumptions!$C$38</f>
        <v>-1578.0591742523663</v>
      </c>
      <c r="O41" s="127">
        <f>O39*-Assumptions!$C$38</f>
        <v>-1670.0211592173982</v>
      </c>
      <c r="P41" s="127">
        <f>P39*-Assumptions!$C$38</f>
        <v>-1760.1293324910903</v>
      </c>
      <c r="Q41" s="127">
        <f>Q39*-Assumptions!$C$38</f>
        <v>-1843.2093276253283</v>
      </c>
      <c r="R41" s="127">
        <f>R39*-Assumptions!$C$38</f>
        <v>-1929.7567564081799</v>
      </c>
      <c r="S41" s="127">
        <f>S39*-Assumptions!$C$38</f>
        <v>-2013.5053045336972</v>
      </c>
      <c r="T41" s="127">
        <f>T39*-Assumptions!$C$38</f>
        <v>-2090.2194095331247</v>
      </c>
      <c r="U41" s="127">
        <f>U39*-Assumptions!$C$38</f>
        <v>-2167.7226092552669</v>
      </c>
      <c r="W41" s="91">
        <f>SUM(B41:U41)</f>
        <v>-27509.116223220757</v>
      </c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</row>
    <row r="42" spans="1:55">
      <c r="A42" s="3" t="s">
        <v>69</v>
      </c>
      <c r="B42" s="121">
        <f>(B39+B41)*-Assumptions!$C$37</f>
        <v>-3115.1355942144937</v>
      </c>
      <c r="C42" s="121">
        <f>(C39+C41)*-Assumptions!$C$37</f>
        <v>-3143.7746051898021</v>
      </c>
      <c r="D42" s="121">
        <f>(D39+D41)*-Assumptions!$C$37</f>
        <v>-3212.8919682443743</v>
      </c>
      <c r="E42" s="121">
        <f>(E39+E41)*-Assumptions!$C$37</f>
        <v>-4911.2228024040633</v>
      </c>
      <c r="F42" s="121">
        <f>(F39+F41)*-Assumptions!$C$37</f>
        <v>-5592.6558549838064</v>
      </c>
      <c r="G42" s="121">
        <f>(G39+G41)*-Assumptions!$C$37</f>
        <v>-5870.893983885454</v>
      </c>
      <c r="H42" s="121">
        <f>(H39+H41)*-Assumptions!$C$37</f>
        <v>-6167.9432696515933</v>
      </c>
      <c r="I42" s="121">
        <f>(I39+I41)*-Assumptions!$C$37</f>
        <v>-6473.5922790229524</v>
      </c>
      <c r="J42" s="121">
        <f>(J39+J41)*-Assumptions!$C$37</f>
        <v>-6820.8864088465762</v>
      </c>
      <c r="K42" s="121">
        <f>(K39+K41)*-Assumptions!$C$37</f>
        <v>-7191.8190488929085</v>
      </c>
      <c r="L42" s="121">
        <f>(L39+L41)*-Assumptions!$C$37</f>
        <v>-7656.1641573852057</v>
      </c>
      <c r="M42" s="121">
        <f>(M39+M41)*-Assumptions!$C$37</f>
        <v>-8146.1241325873634</v>
      </c>
      <c r="N42" s="121">
        <f>(N39+N41)*-Assumptions!$C$37</f>
        <v>-8653.024472150475</v>
      </c>
      <c r="O42" s="121">
        <f>(O39+O41)*-Assumptions!$C$37</f>
        <v>-9157.2826897087343</v>
      </c>
      <c r="P42" s="121">
        <f>(P39+P41)*-Assumptions!$C$37</f>
        <v>-9651.3758398261434</v>
      </c>
      <c r="Q42" s="121">
        <f>(Q39+Q41)*-Assumptions!$C$37</f>
        <v>-10106.931146478884</v>
      </c>
      <c r="R42" s="121">
        <f>(R39+R41)*-Assumptions!$C$37</f>
        <v>-10581.499547638186</v>
      </c>
      <c r="S42" s="121">
        <f>(S39+S41)*-Assumptions!$C$37</f>
        <v>-11040.720753193107</v>
      </c>
      <c r="T42" s="121">
        <f>(T39+T41)*-Assumptions!$C$37</f>
        <v>-11461.3697622733</v>
      </c>
      <c r="U42" s="121">
        <f>(U39+U41)*-Assumptions!$C$37</f>
        <v>-11886.345640749712</v>
      </c>
      <c r="W42" s="91">
        <f>SUM(B42:U42)</f>
        <v>-150841.6539573271</v>
      </c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</row>
    <row r="43" spans="1:55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</row>
    <row r="44" spans="1:55" s="64" customFormat="1" ht="15.75">
      <c r="A44" s="45" t="s">
        <v>216</v>
      </c>
      <c r="B44" s="134">
        <f t="shared" ref="B44:U44" si="11">SUM(B39:B42)</f>
        <v>5785.2518178269174</v>
      </c>
      <c r="C44" s="134">
        <f t="shared" si="11"/>
        <v>5838.4385524953477</v>
      </c>
      <c r="D44" s="134">
        <f t="shared" si="11"/>
        <v>5966.7993695966961</v>
      </c>
      <c r="E44" s="134">
        <f t="shared" si="11"/>
        <v>9120.8423473218318</v>
      </c>
      <c r="F44" s="134">
        <f t="shared" si="11"/>
        <v>10386.360873541355</v>
      </c>
      <c r="G44" s="134">
        <f t="shared" si="11"/>
        <v>10903.088827215845</v>
      </c>
      <c r="H44" s="134">
        <f t="shared" si="11"/>
        <v>11454.751786495817</v>
      </c>
      <c r="I44" s="134">
        <f t="shared" si="11"/>
        <v>12022.385661042626</v>
      </c>
      <c r="J44" s="134">
        <f t="shared" si="11"/>
        <v>12667.360473572213</v>
      </c>
      <c r="K44" s="134">
        <f t="shared" si="11"/>
        <v>13356.235376515402</v>
      </c>
      <c r="L44" s="134">
        <f t="shared" si="11"/>
        <v>14218.590578001098</v>
      </c>
      <c r="M44" s="134">
        <f t="shared" si="11"/>
        <v>15128.516246233678</v>
      </c>
      <c r="N44" s="134">
        <f t="shared" si="11"/>
        <v>16069.902591136601</v>
      </c>
      <c r="O44" s="134">
        <f t="shared" si="11"/>
        <v>17006.382138030509</v>
      </c>
      <c r="P44" s="134">
        <f t="shared" si="11"/>
        <v>17923.983702534271</v>
      </c>
      <c r="Q44" s="134">
        <f t="shared" si="11"/>
        <v>18770.014986317929</v>
      </c>
      <c r="R44" s="134">
        <f t="shared" si="11"/>
        <v>19651.356302756634</v>
      </c>
      <c r="S44" s="134">
        <f t="shared" si="11"/>
        <v>20504.195684501487</v>
      </c>
      <c r="T44" s="134">
        <f t="shared" si="11"/>
        <v>21285.400987078989</v>
      </c>
      <c r="U44" s="134">
        <f t="shared" si="11"/>
        <v>22074.641904249467</v>
      </c>
      <c r="W44" s="91">
        <f>SUM(B44:U44)</f>
        <v>280134.50020646479</v>
      </c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</row>
    <row r="45" spans="1:55" s="62" customFormat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</row>
    <row r="46" spans="1:55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</row>
    <row r="47" spans="1:55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</row>
    <row r="48" spans="1:55" ht="18.75">
      <c r="A48" s="55" t="s">
        <v>213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</row>
    <row r="49" spans="1:55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</row>
    <row r="50" spans="1:55" ht="12.75" customHeight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</row>
    <row r="51" spans="1:55" ht="12.75" customHeight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</row>
    <row r="52" spans="1:55" ht="13.5" thickBot="1">
      <c r="A52" s="194" t="s">
        <v>56</v>
      </c>
      <c r="B52" s="8">
        <v>2001</v>
      </c>
      <c r="C52" s="8">
        <f t="shared" ref="C52:U52" si="12">B52+1</f>
        <v>2002</v>
      </c>
      <c r="D52" s="8">
        <f t="shared" si="12"/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</row>
    <row r="53" spans="1:55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</row>
    <row r="54" spans="1:55">
      <c r="A54" s="13" t="s">
        <v>270</v>
      </c>
      <c r="B54" s="67">
        <f>B31-B12</f>
        <v>19386.180074116739</v>
      </c>
      <c r="C54" s="67">
        <f>C31-C12</f>
        <v>19287.432794107604</v>
      </c>
      <c r="D54" s="67">
        <f>D31-D12</f>
        <v>19235.444500218757</v>
      </c>
      <c r="E54" s="67">
        <f t="shared" ref="E54:U54" si="13">E31</f>
        <v>32308.777029661476</v>
      </c>
      <c r="F54" s="67">
        <f t="shared" si="13"/>
        <v>34016.030352465867</v>
      </c>
      <c r="G54" s="67">
        <f t="shared" si="13"/>
        <v>34430.338236902091</v>
      </c>
      <c r="H54" s="67">
        <f t="shared" si="13"/>
        <v>34848.387285258606</v>
      </c>
      <c r="I54" s="67">
        <f t="shared" si="13"/>
        <v>35270.183823156935</v>
      </c>
      <c r="J54" s="67">
        <f t="shared" si="13"/>
        <v>35695.733007837538</v>
      </c>
      <c r="K54" s="67">
        <f t="shared" si="13"/>
        <v>36125.038775691879</v>
      </c>
      <c r="L54" s="67">
        <f t="shared" si="13"/>
        <v>36801.809764578014</v>
      </c>
      <c r="M54" s="67">
        <f t="shared" si="13"/>
        <v>37490.077984128453</v>
      </c>
      <c r="N54" s="67">
        <f t="shared" si="13"/>
        <v>38190.029846153768</v>
      </c>
      <c r="O54" s="67">
        <f t="shared" si="13"/>
        <v>38901.854355560565</v>
      </c>
      <c r="P54" s="67">
        <f t="shared" si="13"/>
        <v>39572.436726447631</v>
      </c>
      <c r="Q54" s="67">
        <f t="shared" si="13"/>
        <v>40095.634104659403</v>
      </c>
      <c r="R54" s="67">
        <f t="shared" si="13"/>
        <v>40624.333415379362</v>
      </c>
      <c r="S54" s="67">
        <f t="shared" si="13"/>
        <v>41158.560894782771</v>
      </c>
      <c r="T54" s="67">
        <f t="shared" si="13"/>
        <v>41698.341595430531</v>
      </c>
      <c r="U54" s="67">
        <f t="shared" si="13"/>
        <v>42253.073053398446</v>
      </c>
      <c r="W54" s="400">
        <f>SUM(B54:U54)</f>
        <v>697389.69761993643</v>
      </c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</row>
    <row r="55" spans="1:55" ht="12" customHeight="1">
      <c r="A55" s="13" t="s">
        <v>168</v>
      </c>
      <c r="B55" s="67">
        <f>B26</f>
        <v>325</v>
      </c>
      <c r="C55" s="67">
        <f t="shared" ref="C55:T55" si="14">C26</f>
        <v>375</v>
      </c>
      <c r="D55" s="67">
        <f t="shared" si="14"/>
        <v>375</v>
      </c>
      <c r="E55" s="67">
        <f t="shared" si="14"/>
        <v>375</v>
      </c>
      <c r="F55" s="67">
        <f t="shared" si="14"/>
        <v>375</v>
      </c>
      <c r="G55" s="67">
        <f t="shared" si="14"/>
        <v>375</v>
      </c>
      <c r="H55" s="67">
        <f t="shared" si="14"/>
        <v>375</v>
      </c>
      <c r="I55" s="67">
        <f t="shared" si="14"/>
        <v>375</v>
      </c>
      <c r="J55" s="67">
        <f t="shared" si="14"/>
        <v>375</v>
      </c>
      <c r="K55" s="67">
        <f t="shared" si="14"/>
        <v>375</v>
      </c>
      <c r="L55" s="67">
        <f t="shared" si="14"/>
        <v>375</v>
      </c>
      <c r="M55" s="67">
        <f t="shared" si="14"/>
        <v>375</v>
      </c>
      <c r="N55" s="67">
        <f t="shared" si="14"/>
        <v>375</v>
      </c>
      <c r="O55" s="67">
        <f t="shared" si="14"/>
        <v>375</v>
      </c>
      <c r="P55" s="67">
        <f t="shared" si="14"/>
        <v>427.64830117962356</v>
      </c>
      <c r="Q55" s="67">
        <f t="shared" si="14"/>
        <v>436.20126720321605</v>
      </c>
      <c r="R55" s="67">
        <f t="shared" si="14"/>
        <v>444.92529254728038</v>
      </c>
      <c r="S55" s="67">
        <f t="shared" si="14"/>
        <v>453.82379839822596</v>
      </c>
      <c r="T55" s="67">
        <f t="shared" si="14"/>
        <v>462.9002743661905</v>
      </c>
      <c r="U55" s="67">
        <f>T55</f>
        <v>462.9002743661905</v>
      </c>
      <c r="W55" s="400">
        <f>SUM(B55:U55)</f>
        <v>7888.3992080607268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-250</v>
      </c>
      <c r="C56" s="67">
        <f>-B55</f>
        <v>-325</v>
      </c>
      <c r="D56" s="67">
        <f t="shared" ref="D56:U56" si="15">-C55</f>
        <v>-375</v>
      </c>
      <c r="E56" s="67">
        <f t="shared" si="15"/>
        <v>-375</v>
      </c>
      <c r="F56" s="67">
        <f t="shared" si="15"/>
        <v>-375</v>
      </c>
      <c r="G56" s="67">
        <f t="shared" si="15"/>
        <v>-375</v>
      </c>
      <c r="H56" s="67">
        <f t="shared" si="15"/>
        <v>-375</v>
      </c>
      <c r="I56" s="67">
        <f t="shared" si="15"/>
        <v>-375</v>
      </c>
      <c r="J56" s="67">
        <f t="shared" si="15"/>
        <v>-375</v>
      </c>
      <c r="K56" s="67">
        <f t="shared" si="15"/>
        <v>-375</v>
      </c>
      <c r="L56" s="67">
        <f t="shared" si="15"/>
        <v>-375</v>
      </c>
      <c r="M56" s="67">
        <f t="shared" si="15"/>
        <v>-375</v>
      </c>
      <c r="N56" s="67">
        <f t="shared" si="15"/>
        <v>-375</v>
      </c>
      <c r="O56" s="67">
        <f t="shared" si="15"/>
        <v>-375</v>
      </c>
      <c r="P56" s="67">
        <f t="shared" si="15"/>
        <v>-375</v>
      </c>
      <c r="Q56" s="67">
        <f t="shared" si="15"/>
        <v>-427.64830117962356</v>
      </c>
      <c r="R56" s="67">
        <f t="shared" si="15"/>
        <v>-436.20126720321605</v>
      </c>
      <c r="S56" s="67">
        <f t="shared" si="15"/>
        <v>-444.92529254728038</v>
      </c>
      <c r="T56" s="67">
        <f t="shared" si="15"/>
        <v>-453.82379839822596</v>
      </c>
      <c r="U56" s="67">
        <f t="shared" si="15"/>
        <v>-462.9002743661905</v>
      </c>
      <c r="W56" s="400">
        <f>SUM(B56:U56)</f>
        <v>-7675.4989336945364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>
      <c r="A57" s="13" t="s">
        <v>71</v>
      </c>
      <c r="B57" s="398">
        <f>-Debt!B77*Allocation!$E$7</f>
        <v>-14775.848168319584</v>
      </c>
      <c r="C57" s="398">
        <f>-Debt!C77*Allocation!$E$7</f>
        <v>-14763.758457457789</v>
      </c>
      <c r="D57" s="398">
        <f>-Debt!D77*Allocation!$E$7</f>
        <v>-14694.693920663392</v>
      </c>
      <c r="E57" s="398">
        <f>-Debt!E77*Allocation!$E$7</f>
        <v>-14485.108556809637</v>
      </c>
      <c r="F57" s="398">
        <f>-Debt!F77*Allocation!$E$7</f>
        <v>-15158.742037880367</v>
      </c>
      <c r="G57" s="398">
        <f>-Debt!G77*Allocation!$E$7</f>
        <v>-15246.14394487901</v>
      </c>
      <c r="H57" s="398">
        <f>-Debt!H77*Allocation!$E$7</f>
        <v>-15150.409591950945</v>
      </c>
      <c r="I57" s="398">
        <f>-Debt!I77*Allocation!$E$7</f>
        <v>-15291.685061565064</v>
      </c>
      <c r="J57" s="398">
        <f>-Debt!J77*Allocation!$E$7</f>
        <v>-15180.431609470777</v>
      </c>
      <c r="K57" s="398">
        <f>-Debt!K77*Allocation!$E$7</f>
        <v>-15355.445884245812</v>
      </c>
      <c r="L57" s="398">
        <f>-Debt!L77*Allocation!$E$7</f>
        <v>-15212.978818132169</v>
      </c>
      <c r="M57" s="398">
        <f>-Debt!M77*Allocation!$E$7</f>
        <v>-14412.006991475442</v>
      </c>
      <c r="N57" s="398">
        <f>-Debt!N77*Allocation!$E$7</f>
        <v>-13571.228338111359</v>
      </c>
      <c r="O57" s="398">
        <f>-Debt!O77*Allocation!$E$7</f>
        <v>-12750.353098100954</v>
      </c>
      <c r="P57" s="398">
        <f>-Debt!P77*Allocation!$E$7</f>
        <v>-12285.845743292033</v>
      </c>
      <c r="Q57" s="398">
        <f>-Debt!Q77*Allocation!$E$7</f>
        <v>-11791.089698132044</v>
      </c>
      <c r="R57" s="398">
        <f>-Debt!R77*Allocation!$E$7</f>
        <v>-10877.331862471148</v>
      </c>
      <c r="S57" s="398">
        <f>-Debt!S77*Allocation!$E$7</f>
        <v>-8548.897557653765</v>
      </c>
      <c r="T57" s="398">
        <f>-Debt!T77*Allocation!$E$7</f>
        <v>-7810.1098416444001</v>
      </c>
      <c r="U57" s="398">
        <f>-Debt!U77*Allocation!$E$7</f>
        <v>-6339.6949798455335</v>
      </c>
      <c r="W57" s="400">
        <f>SUM(B57:U57)</f>
        <v>-263701.8041621013</v>
      </c>
    </row>
    <row r="58" spans="1:55">
      <c r="A58" s="13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W58" s="401"/>
    </row>
    <row r="59" spans="1:55" s="57" customFormat="1">
      <c r="A59" s="12" t="s">
        <v>72</v>
      </c>
      <c r="B59" s="136">
        <f t="shared" ref="B59:U59" si="16">SUM(B54:B57)</f>
        <v>4685.3319057971548</v>
      </c>
      <c r="C59" s="136">
        <f t="shared" si="16"/>
        <v>4573.6743366498158</v>
      </c>
      <c r="D59" s="136">
        <f t="shared" si="16"/>
        <v>4540.7505795553643</v>
      </c>
      <c r="E59" s="136">
        <f t="shared" si="16"/>
        <v>17823.668472851838</v>
      </c>
      <c r="F59" s="136">
        <f t="shared" si="16"/>
        <v>18857.288314585501</v>
      </c>
      <c r="G59" s="136">
        <f t="shared" si="16"/>
        <v>19184.194292023079</v>
      </c>
      <c r="H59" s="136">
        <f t="shared" si="16"/>
        <v>19697.977693307661</v>
      </c>
      <c r="I59" s="136">
        <f t="shared" si="16"/>
        <v>19978.498761591873</v>
      </c>
      <c r="J59" s="136">
        <f t="shared" si="16"/>
        <v>20515.301398366762</v>
      </c>
      <c r="K59" s="136">
        <f t="shared" si="16"/>
        <v>20769.592891446067</v>
      </c>
      <c r="L59" s="136">
        <f t="shared" si="16"/>
        <v>21588.830946445843</v>
      </c>
      <c r="M59" s="136">
        <f t="shared" si="16"/>
        <v>23078.070992653011</v>
      </c>
      <c r="N59" s="136">
        <f t="shared" si="16"/>
        <v>24618.801508042408</v>
      </c>
      <c r="O59" s="136">
        <f t="shared" si="16"/>
        <v>26151.501257459611</v>
      </c>
      <c r="P59" s="136">
        <f t="shared" si="16"/>
        <v>27339.239284335221</v>
      </c>
      <c r="Q59" s="136">
        <f t="shared" si="16"/>
        <v>28313.09737255095</v>
      </c>
      <c r="R59" s="136">
        <f t="shared" si="16"/>
        <v>29755.725578252284</v>
      </c>
      <c r="S59" s="136">
        <f t="shared" si="16"/>
        <v>32618.561842979951</v>
      </c>
      <c r="T59" s="136">
        <f t="shared" si="16"/>
        <v>33897.308229754097</v>
      </c>
      <c r="U59" s="136">
        <f t="shared" si="16"/>
        <v>35913.378073552914</v>
      </c>
      <c r="W59" s="400">
        <f>SUM(B59:U59)</f>
        <v>433900.79373220139</v>
      </c>
    </row>
    <row r="60" spans="1:55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5">
      <c r="A61" s="13" t="s">
        <v>99</v>
      </c>
      <c r="B61" s="129">
        <f>-B103</f>
        <v>0</v>
      </c>
      <c r="C61" s="129">
        <f t="shared" ref="C61:U61" si="17">-C103</f>
        <v>0</v>
      </c>
      <c r="D61" s="129">
        <f t="shared" si="17"/>
        <v>0</v>
      </c>
      <c r="E61" s="129">
        <f t="shared" si="17"/>
        <v>0</v>
      </c>
      <c r="F61" s="129">
        <f t="shared" si="17"/>
        <v>-168.67061576399954</v>
      </c>
      <c r="G61" s="129">
        <f t="shared" si="17"/>
        <v>-796.57904837055116</v>
      </c>
      <c r="H61" s="129">
        <f t="shared" si="17"/>
        <v>-883.23441556514979</v>
      </c>
      <c r="I61" s="129">
        <f t="shared" si="17"/>
        <v>-937.99156578106908</v>
      </c>
      <c r="J61" s="129">
        <f t="shared" si="17"/>
        <v>-1002.3121917101313</v>
      </c>
      <c r="K61" s="129">
        <f t="shared" si="17"/>
        <v>-1068.9751712284774</v>
      </c>
      <c r="L61" s="129">
        <f t="shared" si="17"/>
        <v>-1154.6424801974197</v>
      </c>
      <c r="M61" s="129">
        <f t="shared" si="17"/>
        <v>-1243.0125725101411</v>
      </c>
      <c r="N61" s="129">
        <f t="shared" si="17"/>
        <v>-1336.4407138932136</v>
      </c>
      <c r="O61" s="129">
        <f t="shared" si="17"/>
        <v>-1427.4183883985368</v>
      </c>
      <c r="P61" s="129">
        <f t="shared" si="17"/>
        <v>-1518.5108721319368</v>
      </c>
      <c r="Q61" s="129">
        <f t="shared" si="17"/>
        <v>-1891.962452880166</v>
      </c>
      <c r="R61" s="129">
        <f t="shared" si="17"/>
        <v>-2268.8814672770086</v>
      </c>
      <c r="S61" s="129">
        <f t="shared" si="17"/>
        <v>-2352.6300154025257</v>
      </c>
      <c r="T61" s="129">
        <f t="shared" si="17"/>
        <v>-2429.3441204019532</v>
      </c>
      <c r="U61" s="129">
        <f t="shared" si="17"/>
        <v>-2506.8473201240954</v>
      </c>
      <c r="W61" s="400">
        <f>SUM(B61:U61)</f>
        <v>-22987.453411636379</v>
      </c>
    </row>
    <row r="62" spans="1:55">
      <c r="A62" s="13" t="s">
        <v>100</v>
      </c>
      <c r="B62" s="128">
        <f>-Allocation!$E$7*Tax!B24</f>
        <v>0</v>
      </c>
      <c r="C62" s="128">
        <f>-Allocation!$E$7*Tax!C24</f>
        <v>0</v>
      </c>
      <c r="D62" s="128">
        <f>-Allocation!$E$7*Tax!D24</f>
        <v>0</v>
      </c>
      <c r="E62" s="128">
        <f>-Allocation!$E$7*Tax!E24</f>
        <v>0</v>
      </c>
      <c r="F62" s="128">
        <f>-Allocation!$E$7*Tax!F24</f>
        <v>0</v>
      </c>
      <c r="G62" s="128">
        <f>-Allocation!$E$7*Tax!G24</f>
        <v>0</v>
      </c>
      <c r="H62" s="128">
        <f>-Allocation!$E$7*Tax!H24</f>
        <v>-3255.7026869715573</v>
      </c>
      <c r="I62" s="128">
        <f>-Allocation!$E$7*Tax!I24</f>
        <v>-4466.2012544979525</v>
      </c>
      <c r="J62" s="128">
        <f>-Allocation!$E$7*Tax!J24</f>
        <v>-4812.0045708299276</v>
      </c>
      <c r="K62" s="128">
        <f>-Allocation!$E$7*Tax!K24</f>
        <v>-5170.3238276337706</v>
      </c>
      <c r="L62" s="128">
        <f>-Allocation!$E$7*Tax!L24</f>
        <v>-5641.8913747274237</v>
      </c>
      <c r="M62" s="128">
        <f>-Allocation!$E$7*Tax!M24</f>
        <v>-6135.092170902316</v>
      </c>
      <c r="N62" s="128">
        <f>-Allocation!$E$7*Tax!N24</f>
        <v>-6632.7538489388953</v>
      </c>
      <c r="O62" s="128">
        <f>-Allocation!$E$7*Tax!O24</f>
        <v>-7118.8204923261374</v>
      </c>
      <c r="P62" s="128">
        <f>-Allocation!$E$7*Tax!P24</f>
        <v>-7600.1876527573613</v>
      </c>
      <c r="Q62" s="128">
        <f>-Allocation!$E$7*Tax!Q24</f>
        <v>-10063.603495011032</v>
      </c>
      <c r="R62" s="128">
        <f>-Allocation!$E$7*Tax!R24</f>
        <v>-12515.931506138933</v>
      </c>
      <c r="S62" s="128">
        <f>-Allocation!$E$7*Tax!S24</f>
        <v>-12982.212576516256</v>
      </c>
      <c r="T62" s="128">
        <f>-Allocation!$E$7*Tax!T24</f>
        <v>-13410.344165448241</v>
      </c>
      <c r="U62" s="128">
        <f>-Allocation!$E$7*Tax!U24</f>
        <v>-13840.491495713679</v>
      </c>
      <c r="W62" s="400">
        <f>SUM(B62:U62)</f>
        <v>-113645.56111841349</v>
      </c>
    </row>
    <row r="63" spans="1:55">
      <c r="A63" s="13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W63" s="401"/>
    </row>
    <row r="64" spans="1:55" s="64" customFormat="1" ht="15.75">
      <c r="A64" s="222" t="s">
        <v>73</v>
      </c>
      <c r="B64" s="137">
        <f t="shared" ref="B64:U64" si="18">B59+B62+B61</f>
        <v>4685.3319057971548</v>
      </c>
      <c r="C64" s="137">
        <f t="shared" si="18"/>
        <v>4573.6743366498158</v>
      </c>
      <c r="D64" s="137">
        <f t="shared" si="18"/>
        <v>4540.7505795553643</v>
      </c>
      <c r="E64" s="137">
        <f t="shared" si="18"/>
        <v>17823.668472851838</v>
      </c>
      <c r="F64" s="137">
        <f t="shared" si="18"/>
        <v>18688.617698821501</v>
      </c>
      <c r="G64" s="137">
        <f t="shared" si="18"/>
        <v>18387.61524365253</v>
      </c>
      <c r="H64" s="137">
        <f t="shared" si="18"/>
        <v>15559.040590770952</v>
      </c>
      <c r="I64" s="137">
        <f t="shared" si="18"/>
        <v>14574.305941312852</v>
      </c>
      <c r="J64" s="137">
        <f t="shared" si="18"/>
        <v>14700.984635826704</v>
      </c>
      <c r="K64" s="137">
        <f t="shared" si="18"/>
        <v>14530.293892583819</v>
      </c>
      <c r="L64" s="137">
        <f t="shared" si="18"/>
        <v>14792.297091521001</v>
      </c>
      <c r="M64" s="137">
        <f t="shared" si="18"/>
        <v>15699.966249240553</v>
      </c>
      <c r="N64" s="137">
        <f t="shared" si="18"/>
        <v>16649.606945210297</v>
      </c>
      <c r="O64" s="137">
        <f t="shared" si="18"/>
        <v>17605.26237673494</v>
      </c>
      <c r="P64" s="137">
        <f t="shared" si="18"/>
        <v>18220.540759445921</v>
      </c>
      <c r="Q64" s="137">
        <f t="shared" si="18"/>
        <v>16357.531424659755</v>
      </c>
      <c r="R64" s="137">
        <f t="shared" si="18"/>
        <v>14970.91260483634</v>
      </c>
      <c r="S64" s="137">
        <f t="shared" si="18"/>
        <v>17283.719251061168</v>
      </c>
      <c r="T64" s="137">
        <f t="shared" si="18"/>
        <v>18057.619943903901</v>
      </c>
      <c r="U64" s="137">
        <f t="shared" si="18"/>
        <v>19566.03925771514</v>
      </c>
      <c r="W64" s="400">
        <f>SUM(B64:U64)</f>
        <v>297267.77920215158</v>
      </c>
    </row>
    <row r="65" spans="1:23"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23">
      <c r="A66" s="68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23">
      <c r="A67" s="68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</row>
    <row r="68" spans="1:23" ht="18.75">
      <c r="A68" s="55" t="s">
        <v>190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3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3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3" ht="13.5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3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3">
      <c r="A73" s="224"/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3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3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3">
      <c r="A76" s="57" t="s">
        <v>192</v>
      </c>
      <c r="B76" s="439">
        <f>Depreciation!C14</f>
        <v>182750.53863486869</v>
      </c>
      <c r="C76" s="439">
        <f>Depreciation!D14</f>
        <v>177098.46012038822</v>
      </c>
      <c r="D76" s="439">
        <f>Depreciation!E14</f>
        <v>171446.38160590775</v>
      </c>
      <c r="E76" s="439">
        <f>Depreciation!F14</f>
        <v>165794.30309142728</v>
      </c>
      <c r="F76" s="439">
        <f>Depreciation!G14</f>
        <v>160142.22457694681</v>
      </c>
      <c r="G76" s="439">
        <f>Depreciation!H14</f>
        <v>154490.14606246635</v>
      </c>
      <c r="H76" s="439">
        <f>Depreciation!I14</f>
        <v>148838.06754798588</v>
      </c>
      <c r="I76" s="439">
        <f>Depreciation!J14</f>
        <v>143185.98903350541</v>
      </c>
      <c r="J76" s="439">
        <f>Depreciation!K14</f>
        <v>137533.91051902494</v>
      </c>
      <c r="K76" s="439">
        <f>Depreciation!L14</f>
        <v>131881.83200454447</v>
      </c>
      <c r="L76" s="439">
        <f>Depreciation!M14</f>
        <v>126229.753490064</v>
      </c>
      <c r="M76" s="439">
        <f>Depreciation!N14</f>
        <v>120577.67497558353</v>
      </c>
      <c r="N76" s="439">
        <f>Depreciation!O14</f>
        <v>114925.59646110306</v>
      </c>
      <c r="O76" s="439">
        <f>Depreciation!P14</f>
        <v>109273.5179466226</v>
      </c>
      <c r="P76" s="439">
        <f>Depreciation!Q14</f>
        <v>103621.43943214213</v>
      </c>
      <c r="Q76" s="439">
        <f>Depreciation!R14</f>
        <v>97969.360917661659</v>
      </c>
      <c r="R76" s="439">
        <f>Depreciation!S14</f>
        <v>92317.282403181191</v>
      </c>
      <c r="S76" s="439">
        <f>Depreciation!T14</f>
        <v>86665.203888700722</v>
      </c>
      <c r="T76" s="439">
        <f>Depreciation!U14</f>
        <v>81013.125374220253</v>
      </c>
      <c r="U76" s="439">
        <f>Depreciation!V14</f>
        <v>75361.046859739785</v>
      </c>
      <c r="W76" s="420">
        <f t="shared" ref="W76:W84" si="19">SUM(B76:U76)</f>
        <v>2581115.8549460853</v>
      </c>
    </row>
    <row r="77" spans="1:23">
      <c r="A77" s="7" t="s">
        <v>180</v>
      </c>
      <c r="B77" s="439">
        <f>'Summary Output'!$C$8*Allocation!$C$7</f>
        <v>72147.756002511669</v>
      </c>
      <c r="C77" s="439">
        <f>'Summary Output'!$C$8*Allocation!$C$7</f>
        <v>72147.756002511669</v>
      </c>
      <c r="D77" s="439">
        <f>'Summary Output'!$C$8*Allocation!$C$7</f>
        <v>72147.756002511669</v>
      </c>
      <c r="E77" s="439">
        <f>'Summary Output'!$C$8*Allocation!$C$7</f>
        <v>72147.756002511669</v>
      </c>
      <c r="F77" s="439">
        <f>'Summary Output'!$C$8*Allocation!$C$7</f>
        <v>72147.756002511669</v>
      </c>
      <c r="G77" s="439">
        <f>'Summary Output'!$C$8*Allocation!$C$7</f>
        <v>72147.756002511669</v>
      </c>
      <c r="H77" s="439">
        <f>'Summary Output'!$C$8*Allocation!$C$7</f>
        <v>72147.756002511669</v>
      </c>
      <c r="I77" s="439">
        <f>'Summary Output'!$C$8*Allocation!$C$7</f>
        <v>72147.756002511669</v>
      </c>
      <c r="J77" s="439">
        <f>'Summary Output'!$C$8*Allocation!$C$7</f>
        <v>72147.756002511669</v>
      </c>
      <c r="K77" s="439">
        <f>'Summary Output'!$C$8*Allocation!$C$7</f>
        <v>72147.756002511669</v>
      </c>
      <c r="L77" s="439">
        <f>'Summary Output'!$C$8*Allocation!$C$7</f>
        <v>72147.756002511669</v>
      </c>
      <c r="M77" s="439">
        <f>'Summary Output'!$C$8*Allocation!$C$7</f>
        <v>72147.756002511669</v>
      </c>
      <c r="N77" s="439">
        <f>'Summary Output'!$C$8*Allocation!$C$7</f>
        <v>72147.756002511669</v>
      </c>
      <c r="O77" s="439">
        <f>'Summary Output'!$C$8*Allocation!$C$7</f>
        <v>72147.756002511669</v>
      </c>
      <c r="P77" s="439">
        <f>'Summary Output'!$C$8*Allocation!$C$7</f>
        <v>72147.756002511669</v>
      </c>
      <c r="Q77" s="439">
        <f>'Summary Output'!$C$8*Allocation!$C$7</f>
        <v>72147.756002511669</v>
      </c>
      <c r="R77" s="439">
        <f>'Summary Output'!$C$8*Allocation!$C$7</f>
        <v>72147.756002511669</v>
      </c>
      <c r="S77" s="439">
        <f>'Summary Output'!$C$8*Allocation!$C$7</f>
        <v>72147.756002511669</v>
      </c>
      <c r="T77" s="439">
        <f>'Summary Output'!$C$8*Allocation!$C$7</f>
        <v>72147.756002511669</v>
      </c>
      <c r="U77" s="439">
        <f>'Summary Output'!$C$8*Allocation!$C$7</f>
        <v>72147.756002511669</v>
      </c>
      <c r="W77" s="420">
        <f t="shared" si="19"/>
        <v>1442955.1200502333</v>
      </c>
    </row>
    <row r="78" spans="1:23">
      <c r="A78" s="443" t="s">
        <v>273</v>
      </c>
      <c r="B78" s="440">
        <f>B44-B64-B12*(Assumptions!$C$38+(1-Assumptions!$C$38)*Assumptions!$C$37)</f>
        <v>-2057.5767324144881</v>
      </c>
      <c r="C78" s="440">
        <f>C44-C64-C12*(Assumptions!$C$38+(1-Assumptions!$C$38)*Assumptions!$C$37)+B78</f>
        <v>-3950.3091610132069</v>
      </c>
      <c r="D78" s="440">
        <f>D44-D64-D12*(Assumptions!$C$38+(1-Assumptions!$C$38)*Assumptions!$C$37)+C78</f>
        <v>-5681.7570154161258</v>
      </c>
      <c r="E78" s="440">
        <f t="shared" ref="E78:U78" si="20">E44-E64+D78</f>
        <v>-14384.583140946132</v>
      </c>
      <c r="F78" s="440">
        <f t="shared" si="20"/>
        <v>-22686.839966226278</v>
      </c>
      <c r="G78" s="440">
        <f t="shared" si="20"/>
        <v>-30171.366382662964</v>
      </c>
      <c r="H78" s="440">
        <f t="shared" si="20"/>
        <v>-34275.6551869381</v>
      </c>
      <c r="I78" s="440">
        <f t="shared" si="20"/>
        <v>-36827.575467208328</v>
      </c>
      <c r="J78" s="440">
        <f t="shared" si="20"/>
        <v>-38861.199629462819</v>
      </c>
      <c r="K78" s="440">
        <f t="shared" si="20"/>
        <v>-40035.258145531232</v>
      </c>
      <c r="L78" s="440">
        <f t="shared" si="20"/>
        <v>-40608.964659051133</v>
      </c>
      <c r="M78" s="440">
        <f t="shared" si="20"/>
        <v>-41180.414662058007</v>
      </c>
      <c r="N78" s="440">
        <f t="shared" si="20"/>
        <v>-41760.119016131706</v>
      </c>
      <c r="O78" s="440">
        <f t="shared" si="20"/>
        <v>-42358.999254836133</v>
      </c>
      <c r="P78" s="440">
        <f t="shared" si="20"/>
        <v>-42655.556311747787</v>
      </c>
      <c r="Q78" s="440">
        <f t="shared" si="20"/>
        <v>-40243.072750089617</v>
      </c>
      <c r="R78" s="440">
        <f t="shared" si="20"/>
        <v>-35562.629052169323</v>
      </c>
      <c r="S78" s="440">
        <f t="shared" si="20"/>
        <v>-32342.152618729004</v>
      </c>
      <c r="T78" s="440">
        <f t="shared" si="20"/>
        <v>-29114.371575553916</v>
      </c>
      <c r="U78" s="440">
        <f t="shared" si="20"/>
        <v>-26605.768929019589</v>
      </c>
      <c r="W78" s="420">
        <f t="shared" si="19"/>
        <v>-601364.16965720581</v>
      </c>
    </row>
    <row r="79" spans="1:23">
      <c r="A79" s="443" t="s">
        <v>187</v>
      </c>
      <c r="B79" s="441">
        <f>Debt!B73*Allocation!$E$7</f>
        <v>111094.78745351192</v>
      </c>
      <c r="C79" s="441">
        <f>Debt!C73*Allocation!$E$7</f>
        <v>108527.7953181198</v>
      </c>
      <c r="D79" s="441">
        <f>Debt!D73*Allocation!$E$7</f>
        <v>105767.79625525458</v>
      </c>
      <c r="E79" s="441">
        <f>Debt!E73*Allocation!$E$7</f>
        <v>103011.65733093882</v>
      </c>
      <c r="F79" s="441">
        <f>Debt!F73*Allocation!$E$7</f>
        <v>99217.913164527723</v>
      </c>
      <c r="G79" s="441">
        <f>Debt!G73*Allocation!$E$7</f>
        <v>94905.366377068945</v>
      </c>
      <c r="H79" s="441">
        <f>Debt!H73*Allocation!$E$7</f>
        <v>90203.717623824414</v>
      </c>
      <c r="I79" s="441">
        <f>Debt!I73*Allocation!$E$7</f>
        <v>84853.565594270302</v>
      </c>
      <c r="J79" s="441">
        <f>Debt!J73*Allocation!$E$7</f>
        <v>78984.610943668507</v>
      </c>
      <c r="K79" s="441">
        <f>Debt!K73*Allocation!$E$7</f>
        <v>72242.492953178444</v>
      </c>
      <c r="L79" s="441">
        <f>Debt!L73*Allocation!$E$7</f>
        <v>64908.229709200939</v>
      </c>
      <c r="M79" s="441">
        <f>Debt!M73*Allocation!$E$7</f>
        <v>57573.966465223435</v>
      </c>
      <c r="N79" s="441">
        <f>Debt!N73*Allocation!$E$7</f>
        <v>50239.703221245923</v>
      </c>
      <c r="O79" s="441">
        <f>Debt!O73*Allocation!$E$7</f>
        <v>42905.439977268419</v>
      </c>
      <c r="P79" s="441">
        <f>Debt!P73*Allocation!$E$7</f>
        <v>35204.463571092034</v>
      </c>
      <c r="Q79" s="441">
        <f>Debt!Q73*Allocation!$E$7</f>
        <v>27136.774002716778</v>
      </c>
      <c r="R79" s="441">
        <f>Debt!R73*Allocation!$E$7</f>
        <v>19069.084434341519</v>
      </c>
      <c r="S79" s="441">
        <f>Debt!S73*Allocation!$E$7</f>
        <v>12468.247514761762</v>
      </c>
      <c r="T79" s="441">
        <f>Debt!T73*Allocation!$E$7</f>
        <v>5867.4105951820056</v>
      </c>
      <c r="U79" s="441">
        <f>Debt!U73*Allocation!$E$7</f>
        <v>-6.1789649835671744E-12</v>
      </c>
      <c r="W79" s="420">
        <f t="shared" si="19"/>
        <v>1264183.0225053965</v>
      </c>
    </row>
    <row r="80" spans="1:23">
      <c r="A80" s="57" t="s">
        <v>193</v>
      </c>
      <c r="B80" s="442">
        <f>SUM(B77:B79)</f>
        <v>181184.9667236091</v>
      </c>
      <c r="C80" s="442">
        <f t="shared" ref="C80:U80" si="21">SUM(C77:C79)</f>
        <v>176725.24215961824</v>
      </c>
      <c r="D80" s="442">
        <f t="shared" si="21"/>
        <v>172233.79524235014</v>
      </c>
      <c r="E80" s="442">
        <f t="shared" si="21"/>
        <v>160774.83019250436</v>
      </c>
      <c r="F80" s="442">
        <f t="shared" si="21"/>
        <v>148678.82920081311</v>
      </c>
      <c r="G80" s="442">
        <f t="shared" si="21"/>
        <v>136881.75599691767</v>
      </c>
      <c r="H80" s="442">
        <f t="shared" si="21"/>
        <v>128075.81843939799</v>
      </c>
      <c r="I80" s="442">
        <f t="shared" si="21"/>
        <v>120173.74612957364</v>
      </c>
      <c r="J80" s="442">
        <f t="shared" si="21"/>
        <v>112271.16731671736</v>
      </c>
      <c r="K80" s="442">
        <f t="shared" si="21"/>
        <v>104354.99081015888</v>
      </c>
      <c r="L80" s="442">
        <f t="shared" si="21"/>
        <v>96447.021052661468</v>
      </c>
      <c r="M80" s="442">
        <f t="shared" si="21"/>
        <v>88541.30780567709</v>
      </c>
      <c r="N80" s="442">
        <f t="shared" si="21"/>
        <v>80627.340207625879</v>
      </c>
      <c r="O80" s="442">
        <f t="shared" si="21"/>
        <v>72694.196724943962</v>
      </c>
      <c r="P80" s="442">
        <f t="shared" si="21"/>
        <v>64696.663261855916</v>
      </c>
      <c r="Q80" s="442">
        <f t="shared" si="21"/>
        <v>59041.457255138826</v>
      </c>
      <c r="R80" s="442">
        <f t="shared" si="21"/>
        <v>55654.211384683862</v>
      </c>
      <c r="S80" s="442">
        <f t="shared" si="21"/>
        <v>52273.850898544435</v>
      </c>
      <c r="T80" s="442">
        <f t="shared" si="21"/>
        <v>48900.795022139762</v>
      </c>
      <c r="U80" s="442">
        <f t="shared" si="21"/>
        <v>45541.987073492077</v>
      </c>
      <c r="W80" s="420">
        <f t="shared" si="19"/>
        <v>2105773.9728984237</v>
      </c>
    </row>
    <row r="81" spans="1:44">
      <c r="A81" s="224"/>
      <c r="B81" s="442"/>
      <c r="C81" s="442"/>
      <c r="D81" s="442"/>
      <c r="E81" s="442"/>
      <c r="F81" s="442"/>
      <c r="G81" s="442"/>
      <c r="H81" s="442"/>
      <c r="I81" s="442"/>
      <c r="J81" s="442"/>
      <c r="K81" s="442"/>
      <c r="L81" s="442"/>
      <c r="M81" s="442"/>
      <c r="N81" s="442"/>
      <c r="O81" s="442"/>
      <c r="P81" s="442"/>
      <c r="Q81" s="442"/>
      <c r="R81" s="442"/>
      <c r="S81" s="442"/>
      <c r="T81" s="442"/>
      <c r="U81" s="442"/>
      <c r="W81" s="420">
        <f t="shared" si="19"/>
        <v>0</v>
      </c>
    </row>
    <row r="82" spans="1:44">
      <c r="A82" s="57" t="s">
        <v>215</v>
      </c>
      <c r="B82" s="442">
        <f>MAX(B80,B76)</f>
        <v>182750.53863486869</v>
      </c>
      <c r="C82" s="442">
        <f t="shared" ref="C82:U82" si="22">MAX(C80,C76)</f>
        <v>177098.46012038822</v>
      </c>
      <c r="D82" s="442">
        <f t="shared" si="22"/>
        <v>172233.79524235014</v>
      </c>
      <c r="E82" s="442">
        <f t="shared" si="22"/>
        <v>165794.30309142728</v>
      </c>
      <c r="F82" s="442">
        <f t="shared" si="22"/>
        <v>160142.22457694681</v>
      </c>
      <c r="G82" s="442">
        <f t="shared" si="22"/>
        <v>154490.14606246635</v>
      </c>
      <c r="H82" s="442">
        <f t="shared" si="22"/>
        <v>148838.06754798588</v>
      </c>
      <c r="I82" s="442">
        <f t="shared" si="22"/>
        <v>143185.98903350541</v>
      </c>
      <c r="J82" s="442">
        <f t="shared" si="22"/>
        <v>137533.91051902494</v>
      </c>
      <c r="K82" s="442">
        <f t="shared" si="22"/>
        <v>131881.83200454447</v>
      </c>
      <c r="L82" s="442">
        <f t="shared" si="22"/>
        <v>126229.753490064</v>
      </c>
      <c r="M82" s="442">
        <f t="shared" si="22"/>
        <v>120577.67497558353</v>
      </c>
      <c r="N82" s="442">
        <f t="shared" si="22"/>
        <v>114925.59646110306</v>
      </c>
      <c r="O82" s="442">
        <f t="shared" si="22"/>
        <v>109273.5179466226</v>
      </c>
      <c r="P82" s="442">
        <f t="shared" si="22"/>
        <v>103621.43943214213</v>
      </c>
      <c r="Q82" s="442">
        <f t="shared" si="22"/>
        <v>97969.360917661659</v>
      </c>
      <c r="R82" s="442">
        <f t="shared" si="22"/>
        <v>92317.282403181191</v>
      </c>
      <c r="S82" s="442">
        <f t="shared" si="22"/>
        <v>86665.203888700722</v>
      </c>
      <c r="T82" s="442">
        <f t="shared" si="22"/>
        <v>81013.125374220253</v>
      </c>
      <c r="U82" s="442">
        <f t="shared" si="22"/>
        <v>75361.046859739785</v>
      </c>
      <c r="W82" s="420">
        <f t="shared" si="19"/>
        <v>2581903.2685825275</v>
      </c>
    </row>
    <row r="83" spans="1:44">
      <c r="A83" s="443" t="s">
        <v>183</v>
      </c>
      <c r="B83" s="445">
        <f>Assumptions!$C$41</f>
        <v>2.5000000000000001E-3</v>
      </c>
      <c r="C83" s="445">
        <f>Assumptions!$C$42</f>
        <v>2.5000000000000001E-3</v>
      </c>
      <c r="D83" s="445">
        <f>Assumptions!$C$42</f>
        <v>2.5000000000000001E-3</v>
      </c>
      <c r="E83" s="445">
        <f>Assumptions!$C$42</f>
        <v>2.5000000000000001E-3</v>
      </c>
      <c r="F83" s="445">
        <f>Assumptions!$C$42</f>
        <v>2.5000000000000001E-3</v>
      </c>
      <c r="G83" s="445">
        <f>Assumptions!$C$42</f>
        <v>2.5000000000000001E-3</v>
      </c>
      <c r="H83" s="445">
        <f>Assumptions!$C$42</f>
        <v>2.5000000000000001E-3</v>
      </c>
      <c r="I83" s="445">
        <f>Assumptions!$C$42</f>
        <v>2.5000000000000001E-3</v>
      </c>
      <c r="J83" s="445">
        <f>Assumptions!$C$42</f>
        <v>2.5000000000000001E-3</v>
      </c>
      <c r="K83" s="445">
        <f>Assumptions!$C$42</f>
        <v>2.5000000000000001E-3</v>
      </c>
      <c r="L83" s="445">
        <f>Assumptions!$C$42</f>
        <v>2.5000000000000001E-3</v>
      </c>
      <c r="M83" s="445">
        <f>Assumptions!$C$42</f>
        <v>2.5000000000000001E-3</v>
      </c>
      <c r="N83" s="445">
        <f>Assumptions!$C$42</f>
        <v>2.5000000000000001E-3</v>
      </c>
      <c r="O83" s="445">
        <f>Assumptions!$C$42</f>
        <v>2.5000000000000001E-3</v>
      </c>
      <c r="P83" s="445">
        <f>Assumptions!$C$42</f>
        <v>2.5000000000000001E-3</v>
      </c>
      <c r="Q83" s="445">
        <f>Assumptions!$C$42</f>
        <v>2.5000000000000001E-3</v>
      </c>
      <c r="R83" s="445">
        <f>Assumptions!$C$42</f>
        <v>2.5000000000000001E-3</v>
      </c>
      <c r="S83" s="445">
        <f>Assumptions!$C$42</f>
        <v>2.5000000000000001E-3</v>
      </c>
      <c r="T83" s="445">
        <f>Assumptions!$C$42</f>
        <v>2.5000000000000001E-3</v>
      </c>
      <c r="U83" s="445">
        <f>Assumptions!$C$42</f>
        <v>2.5000000000000001E-3</v>
      </c>
      <c r="W83" s="420"/>
    </row>
    <row r="84" spans="1:44">
      <c r="A84" s="224" t="s">
        <v>184</v>
      </c>
      <c r="B84" s="461">
        <v>456.87634658717172</v>
      </c>
      <c r="C84" s="461">
        <v>442.74615030097056</v>
      </c>
      <c r="D84" s="461">
        <v>430.58448810587538</v>
      </c>
      <c r="E84" s="461">
        <v>414.48575772856822</v>
      </c>
      <c r="F84" s="461">
        <v>400.35556144236705</v>
      </c>
      <c r="G84" s="461">
        <v>386.22536515616588</v>
      </c>
      <c r="H84" s="461">
        <v>372.09516886996471</v>
      </c>
      <c r="I84" s="461">
        <v>357.96497258376354</v>
      </c>
      <c r="J84" s="461">
        <v>343.83477629756237</v>
      </c>
      <c r="K84" s="461">
        <v>329.7045800113612</v>
      </c>
      <c r="L84" s="461">
        <v>315.57438372516003</v>
      </c>
      <c r="M84" s="461">
        <v>301.44418743895886</v>
      </c>
      <c r="N84" s="461">
        <v>287.31399115275769</v>
      </c>
      <c r="O84" s="461">
        <v>273.18379486655647</v>
      </c>
      <c r="P84" s="461">
        <v>259.0535985803553</v>
      </c>
      <c r="Q84" s="461">
        <v>244.92340229415416</v>
      </c>
      <c r="R84" s="461">
        <v>230.79320600795299</v>
      </c>
      <c r="S84" s="461">
        <v>216.66300972175182</v>
      </c>
      <c r="T84" s="461">
        <v>202.53281343555065</v>
      </c>
      <c r="U84" s="461">
        <v>188.40261714934945</v>
      </c>
      <c r="W84" s="420">
        <f t="shared" si="19"/>
        <v>6454.7581714563175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>
      <c r="A85" s="443"/>
      <c r="B85" s="439"/>
      <c r="C85" s="444"/>
      <c r="D85" s="444"/>
      <c r="E85" s="444"/>
      <c r="F85" s="444"/>
      <c r="G85" s="444"/>
      <c r="H85" s="444"/>
      <c r="I85" s="444"/>
      <c r="J85" s="444"/>
      <c r="K85" s="444"/>
      <c r="L85" s="444"/>
      <c r="M85" s="444"/>
      <c r="N85" s="444"/>
      <c r="O85" s="444"/>
      <c r="P85" s="444"/>
      <c r="Q85" s="444"/>
      <c r="R85" s="444"/>
      <c r="S85" s="444"/>
      <c r="T85" s="444"/>
      <c r="U85" s="444"/>
    </row>
    <row r="86" spans="1:44">
      <c r="A86" s="224"/>
      <c r="B86" s="247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44">
      <c r="A87" s="225" t="s">
        <v>83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spans="1:44">
      <c r="A88" s="225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spans="1:44">
      <c r="A89" s="21" t="s">
        <v>271</v>
      </c>
      <c r="B89" s="20">
        <f>B39-B12</f>
        <v>1351.5392919830247</v>
      </c>
      <c r="C89" s="20">
        <f>C39-C12</f>
        <v>1438.5879575614708</v>
      </c>
      <c r="D89" s="20">
        <f>D39-D12</f>
        <v>1648.6711279401079</v>
      </c>
      <c r="E89" s="20">
        <f t="shared" ref="E89:U89" si="23">E39</f>
        <v>14927.728882687123</v>
      </c>
      <c r="F89" s="20">
        <f t="shared" si="23"/>
        <v>16998.953966516128</v>
      </c>
      <c r="G89" s="20">
        <f t="shared" si="23"/>
        <v>17844.662565001381</v>
      </c>
      <c r="H89" s="20">
        <f t="shared" si="23"/>
        <v>18747.547932071713</v>
      </c>
      <c r="I89" s="20">
        <f t="shared" si="23"/>
        <v>19676.572276665509</v>
      </c>
      <c r="J89" s="20">
        <f t="shared" si="23"/>
        <v>20732.177534488073</v>
      </c>
      <c r="K89" s="20">
        <f t="shared" si="23"/>
        <v>21859.632367455648</v>
      </c>
      <c r="L89" s="20">
        <f t="shared" si="23"/>
        <v>23271.015675942876</v>
      </c>
      <c r="M89" s="20">
        <f t="shared" si="23"/>
        <v>24760.255722150043</v>
      </c>
      <c r="N89" s="20">
        <f t="shared" si="23"/>
        <v>26300.98623753944</v>
      </c>
      <c r="O89" s="20">
        <f t="shared" si="23"/>
        <v>27833.68598695664</v>
      </c>
      <c r="P89" s="20">
        <f t="shared" si="23"/>
        <v>29335.488874851504</v>
      </c>
      <c r="Q89" s="20">
        <f t="shared" si="23"/>
        <v>30720.155460422142</v>
      </c>
      <c r="R89" s="20">
        <f t="shared" si="23"/>
        <v>32162.612606802999</v>
      </c>
      <c r="S89" s="20">
        <f t="shared" si="23"/>
        <v>33558.421742228289</v>
      </c>
      <c r="T89" s="20">
        <f t="shared" si="23"/>
        <v>34836.990158885412</v>
      </c>
      <c r="U89" s="20">
        <f t="shared" si="23"/>
        <v>36128.710154254448</v>
      </c>
      <c r="W89" s="420">
        <f>SUM(B89:U89)</f>
        <v>434134.39652240399</v>
      </c>
    </row>
    <row r="90" spans="1:44">
      <c r="A90" s="21" t="s">
        <v>132</v>
      </c>
      <c r="B90" s="20">
        <f>B33</f>
        <v>5652.078514480475</v>
      </c>
      <c r="C90" s="20">
        <f t="shared" ref="C90:U90" si="24">C33</f>
        <v>5652.078514480475</v>
      </c>
      <c r="D90" s="20">
        <f t="shared" si="24"/>
        <v>5652.078514480475</v>
      </c>
      <c r="E90" s="20">
        <f t="shared" si="24"/>
        <v>5652.078514480475</v>
      </c>
      <c r="F90" s="20">
        <f t="shared" si="24"/>
        <v>5652.078514480475</v>
      </c>
      <c r="G90" s="20">
        <f t="shared" si="24"/>
        <v>5652.078514480475</v>
      </c>
      <c r="H90" s="20">
        <f t="shared" si="24"/>
        <v>5652.078514480475</v>
      </c>
      <c r="I90" s="20">
        <f t="shared" si="24"/>
        <v>5652.078514480475</v>
      </c>
      <c r="J90" s="20">
        <f t="shared" si="24"/>
        <v>5652.078514480475</v>
      </c>
      <c r="K90" s="20">
        <f t="shared" si="24"/>
        <v>5652.078514480475</v>
      </c>
      <c r="L90" s="20">
        <f t="shared" si="24"/>
        <v>5652.078514480475</v>
      </c>
      <c r="M90" s="20">
        <f t="shared" si="24"/>
        <v>5652.078514480475</v>
      </c>
      <c r="N90" s="20">
        <f t="shared" si="24"/>
        <v>5652.078514480475</v>
      </c>
      <c r="O90" s="20">
        <f t="shared" si="24"/>
        <v>5652.078514480475</v>
      </c>
      <c r="P90" s="20">
        <f t="shared" si="24"/>
        <v>5652.078514480475</v>
      </c>
      <c r="Q90" s="20">
        <f t="shared" si="24"/>
        <v>5652.078514480475</v>
      </c>
      <c r="R90" s="20">
        <f t="shared" si="24"/>
        <v>5652.078514480475</v>
      </c>
      <c r="S90" s="20">
        <f t="shared" si="24"/>
        <v>5652.078514480475</v>
      </c>
      <c r="T90" s="20">
        <f t="shared" si="24"/>
        <v>5652.078514480475</v>
      </c>
      <c r="U90" s="20">
        <f t="shared" si="24"/>
        <v>5652.078514480475</v>
      </c>
      <c r="W90" s="420">
        <f>SUM(B90:U90)</f>
        <v>113041.57028960944</v>
      </c>
    </row>
    <row r="91" spans="1:44" ht="15">
      <c r="A91" s="21" t="s">
        <v>200</v>
      </c>
      <c r="B91" s="228">
        <f>-Depreciation!C69</f>
        <v>-8202.5871642370275</v>
      </c>
      <c r="C91" s="228">
        <f>-Depreciation!D69</f>
        <v>-15584.915612050352</v>
      </c>
      <c r="D91" s="228">
        <f>-Depreciation!E69</f>
        <v>-14026.424050845317</v>
      </c>
      <c r="E91" s="228">
        <f>-Depreciation!F69</f>
        <v>-12631.984232925022</v>
      </c>
      <c r="F91" s="228">
        <f>-Depreciation!G69</f>
        <v>-11368.78580963252</v>
      </c>
      <c r="G91" s="228">
        <f>-Depreciation!H69</f>
        <v>-10220.423606639337</v>
      </c>
      <c r="H91" s="228">
        <f>-Depreciation!I69</f>
        <v>-9679.0528537996925</v>
      </c>
      <c r="I91" s="228">
        <f>-Depreciation!J69</f>
        <v>-9695.4580281281669</v>
      </c>
      <c r="J91" s="228">
        <f>-Depreciation!K69</f>
        <v>-9679.0528537996925</v>
      </c>
      <c r="K91" s="228">
        <f>-Depreciation!L69</f>
        <v>-9695.4580281281669</v>
      </c>
      <c r="L91" s="228">
        <f>-Depreciation!M69</f>
        <v>-9679.0528537996925</v>
      </c>
      <c r="M91" s="228">
        <f>-Depreciation!N69</f>
        <v>-9695.4580281281669</v>
      </c>
      <c r="N91" s="228">
        <f>-Depreciation!O69</f>
        <v>-9679.0528537996925</v>
      </c>
      <c r="O91" s="228">
        <f>-Depreciation!P69</f>
        <v>-9695.4580281281669</v>
      </c>
      <c r="P91" s="228">
        <f>-Depreciation!Q69</f>
        <v>-9679.0528537996925</v>
      </c>
      <c r="Q91" s="228">
        <f>-Depreciation!R69</f>
        <v>-4839.5264268998462</v>
      </c>
      <c r="R91" s="228">
        <f>-Depreciation!S69</f>
        <v>0</v>
      </c>
      <c r="S91" s="228">
        <f>-Depreciation!T69</f>
        <v>0</v>
      </c>
      <c r="T91" s="228">
        <f>-Depreciation!U69</f>
        <v>0</v>
      </c>
      <c r="U91" s="228">
        <f>-Depreciation!V69</f>
        <v>0</v>
      </c>
      <c r="W91" s="421">
        <f>SUM(B91:U91)</f>
        <v>-164051.74328474054</v>
      </c>
    </row>
    <row r="92" spans="1:44">
      <c r="A92" s="227" t="s">
        <v>131</v>
      </c>
      <c r="B92" s="22">
        <f t="shared" ref="B92:U92" si="25">SUM(B89:B91)</f>
        <v>-1198.9693577735279</v>
      </c>
      <c r="C92" s="22">
        <f t="shared" si="25"/>
        <v>-8494.2491400084073</v>
      </c>
      <c r="D92" s="22">
        <f t="shared" si="25"/>
        <v>-6725.6744084247339</v>
      </c>
      <c r="E92" s="22">
        <f t="shared" si="25"/>
        <v>7947.8231642425762</v>
      </c>
      <c r="F92" s="22">
        <f t="shared" si="25"/>
        <v>11282.246671364084</v>
      </c>
      <c r="G92" s="22">
        <f t="shared" si="25"/>
        <v>13276.31747284252</v>
      </c>
      <c r="H92" s="22">
        <f t="shared" si="25"/>
        <v>14720.573592752497</v>
      </c>
      <c r="I92" s="22">
        <f t="shared" si="25"/>
        <v>15633.192763017818</v>
      </c>
      <c r="J92" s="22">
        <f t="shared" si="25"/>
        <v>16705.203195168855</v>
      </c>
      <c r="K92" s="22">
        <f t="shared" si="25"/>
        <v>17816.252853807957</v>
      </c>
      <c r="L92" s="22">
        <f t="shared" si="25"/>
        <v>19244.041336623661</v>
      </c>
      <c r="M92" s="22">
        <f t="shared" si="25"/>
        <v>20716.876208502352</v>
      </c>
      <c r="N92" s="22">
        <f t="shared" si="25"/>
        <v>22274.011898220226</v>
      </c>
      <c r="O92" s="22">
        <f t="shared" si="25"/>
        <v>23790.306473308949</v>
      </c>
      <c r="P92" s="22">
        <f t="shared" si="25"/>
        <v>25308.514535532282</v>
      </c>
      <c r="Q92" s="22">
        <f t="shared" si="25"/>
        <v>31532.707548002767</v>
      </c>
      <c r="R92" s="22">
        <f t="shared" si="25"/>
        <v>37814.691121283475</v>
      </c>
      <c r="S92" s="22">
        <f t="shared" si="25"/>
        <v>39210.500256708765</v>
      </c>
      <c r="T92" s="22">
        <f t="shared" si="25"/>
        <v>40489.068673365888</v>
      </c>
      <c r="U92" s="22">
        <f t="shared" si="25"/>
        <v>41780.788668734924</v>
      </c>
      <c r="W92" s="420">
        <f>SUM(B92:U92)</f>
        <v>383124.22352727293</v>
      </c>
    </row>
    <row r="93" spans="1:44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>
      <c r="A94" s="21" t="s">
        <v>39</v>
      </c>
      <c r="B94" s="418">
        <f>Assumptions!$C$38</f>
        <v>0.06</v>
      </c>
      <c r="C94" s="418">
        <f>Assumptions!$C$38</f>
        <v>0.06</v>
      </c>
      <c r="D94" s="418">
        <f>Assumptions!$C$38</f>
        <v>0.06</v>
      </c>
      <c r="E94" s="418">
        <f>Assumptions!$C$38</f>
        <v>0.06</v>
      </c>
      <c r="F94" s="418">
        <f>Assumptions!$C$38</f>
        <v>0.06</v>
      </c>
      <c r="G94" s="418">
        <f>Assumptions!$C$38</f>
        <v>0.06</v>
      </c>
      <c r="H94" s="418">
        <f>Assumptions!$C$38</f>
        <v>0.06</v>
      </c>
      <c r="I94" s="418">
        <f>Assumptions!$C$38</f>
        <v>0.06</v>
      </c>
      <c r="J94" s="418">
        <f>Assumptions!$C$38</f>
        <v>0.06</v>
      </c>
      <c r="K94" s="418">
        <f>Assumptions!$C$38</f>
        <v>0.06</v>
      </c>
      <c r="L94" s="418">
        <f>Assumptions!$C$38</f>
        <v>0.06</v>
      </c>
      <c r="M94" s="418">
        <f>Assumptions!$C$38</f>
        <v>0.06</v>
      </c>
      <c r="N94" s="418">
        <f>Assumptions!$C$38</f>
        <v>0.06</v>
      </c>
      <c r="O94" s="418">
        <f>Assumptions!$C$38</f>
        <v>0.06</v>
      </c>
      <c r="P94" s="418">
        <f>Assumptions!$C$38</f>
        <v>0.06</v>
      </c>
      <c r="Q94" s="418">
        <f>Assumptions!$C$38</f>
        <v>0.06</v>
      </c>
      <c r="R94" s="418">
        <f>Assumptions!$C$38</f>
        <v>0.06</v>
      </c>
      <c r="S94" s="418">
        <f>Assumptions!$C$38</f>
        <v>0.06</v>
      </c>
      <c r="T94" s="418">
        <f>Assumptions!$C$38</f>
        <v>0.06</v>
      </c>
      <c r="U94" s="418">
        <f>Assumptions!$C$38</f>
        <v>0.06</v>
      </c>
    </row>
    <row r="95" spans="1:44">
      <c r="A95" s="21" t="s">
        <v>133</v>
      </c>
      <c r="B95" s="20">
        <f>B92*B94</f>
        <v>-71.938161466411671</v>
      </c>
      <c r="C95" s="20">
        <f t="shared" ref="C95:U95" si="26">C92*C94</f>
        <v>-509.6549484005044</v>
      </c>
      <c r="D95" s="20">
        <f t="shared" si="26"/>
        <v>-403.54046450548401</v>
      </c>
      <c r="E95" s="20">
        <f t="shared" si="26"/>
        <v>476.86938985455458</v>
      </c>
      <c r="F95" s="20">
        <f t="shared" si="26"/>
        <v>676.93480028184501</v>
      </c>
      <c r="G95" s="20">
        <f t="shared" si="26"/>
        <v>796.57904837055116</v>
      </c>
      <c r="H95" s="20">
        <f t="shared" si="26"/>
        <v>883.23441556514979</v>
      </c>
      <c r="I95" s="20">
        <f t="shared" si="26"/>
        <v>937.99156578106908</v>
      </c>
      <c r="J95" s="20">
        <f t="shared" si="26"/>
        <v>1002.3121917101313</v>
      </c>
      <c r="K95" s="20">
        <f t="shared" si="26"/>
        <v>1068.9751712284774</v>
      </c>
      <c r="L95" s="20">
        <f t="shared" si="26"/>
        <v>1154.6424801974197</v>
      </c>
      <c r="M95" s="20">
        <f t="shared" si="26"/>
        <v>1243.0125725101411</v>
      </c>
      <c r="N95" s="20">
        <f t="shared" si="26"/>
        <v>1336.4407138932136</v>
      </c>
      <c r="O95" s="20">
        <f t="shared" si="26"/>
        <v>1427.4183883985368</v>
      </c>
      <c r="P95" s="20">
        <f t="shared" si="26"/>
        <v>1518.5108721319368</v>
      </c>
      <c r="Q95" s="20">
        <f t="shared" si="26"/>
        <v>1891.962452880166</v>
      </c>
      <c r="R95" s="20">
        <f t="shared" si="26"/>
        <v>2268.8814672770086</v>
      </c>
      <c r="S95" s="20">
        <f t="shared" si="26"/>
        <v>2352.6300154025257</v>
      </c>
      <c r="T95" s="20">
        <f t="shared" si="26"/>
        <v>2429.3441204019532</v>
      </c>
      <c r="U95" s="20">
        <f t="shared" si="26"/>
        <v>2506.8473201240954</v>
      </c>
    </row>
    <row r="96" spans="1:44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>
      <c r="A97" s="21" t="s">
        <v>134</v>
      </c>
      <c r="B97" s="20">
        <v>0</v>
      </c>
      <c r="C97" s="20">
        <f t="shared" ref="C97:U97" si="27">B101</f>
        <v>71.938161466411671</v>
      </c>
      <c r="D97" s="20">
        <f t="shared" si="27"/>
        <v>581.59310986691605</v>
      </c>
      <c r="E97" s="20">
        <f t="shared" si="27"/>
        <v>985.13357437240006</v>
      </c>
      <c r="F97" s="20">
        <f t="shared" si="27"/>
        <v>508.26418451784548</v>
      </c>
      <c r="G97" s="20">
        <f t="shared" si="27"/>
        <v>0</v>
      </c>
      <c r="H97" s="20">
        <f t="shared" si="27"/>
        <v>0</v>
      </c>
      <c r="I97" s="20">
        <f t="shared" si="27"/>
        <v>0</v>
      </c>
      <c r="J97" s="20">
        <f t="shared" si="27"/>
        <v>0</v>
      </c>
      <c r="K97" s="20">
        <f t="shared" si="27"/>
        <v>0</v>
      </c>
      <c r="L97" s="20">
        <f t="shared" si="27"/>
        <v>0</v>
      </c>
      <c r="M97" s="20">
        <f t="shared" si="27"/>
        <v>0</v>
      </c>
      <c r="N97" s="20">
        <f>M101</f>
        <v>0</v>
      </c>
      <c r="O97" s="20">
        <f t="shared" si="27"/>
        <v>0</v>
      </c>
      <c r="P97" s="20">
        <f t="shared" si="27"/>
        <v>0</v>
      </c>
      <c r="Q97" s="20">
        <f t="shared" si="27"/>
        <v>0</v>
      </c>
      <c r="R97" s="20">
        <v>0</v>
      </c>
      <c r="S97" s="20">
        <f t="shared" si="27"/>
        <v>0</v>
      </c>
      <c r="T97" s="20">
        <f t="shared" si="27"/>
        <v>0</v>
      </c>
      <c r="U97" s="20">
        <f t="shared" si="27"/>
        <v>0</v>
      </c>
    </row>
    <row r="98" spans="1:23">
      <c r="A98" s="21" t="s">
        <v>135</v>
      </c>
      <c r="B98" s="239">
        <f t="shared" ref="B98:U98" si="28">IF(B68&gt;2020,0,IF(B95&lt;0,-B95,0))</f>
        <v>71.938161466411671</v>
      </c>
      <c r="C98" s="239">
        <f t="shared" si="28"/>
        <v>509.6549484005044</v>
      </c>
      <c r="D98" s="239">
        <f t="shared" si="28"/>
        <v>403.54046450548401</v>
      </c>
      <c r="E98" s="239">
        <f t="shared" si="28"/>
        <v>0</v>
      </c>
      <c r="F98" s="239">
        <f t="shared" si="28"/>
        <v>0</v>
      </c>
      <c r="G98" s="239">
        <f t="shared" si="28"/>
        <v>0</v>
      </c>
      <c r="H98" s="239">
        <f t="shared" si="28"/>
        <v>0</v>
      </c>
      <c r="I98" s="239">
        <f t="shared" si="28"/>
        <v>0</v>
      </c>
      <c r="J98" s="239">
        <f t="shared" si="28"/>
        <v>0</v>
      </c>
      <c r="K98" s="239">
        <f t="shared" si="28"/>
        <v>0</v>
      </c>
      <c r="L98" s="239">
        <f t="shared" si="28"/>
        <v>0</v>
      </c>
      <c r="M98" s="239">
        <f t="shared" si="28"/>
        <v>0</v>
      </c>
      <c r="N98" s="239">
        <f t="shared" si="28"/>
        <v>0</v>
      </c>
      <c r="O98" s="239">
        <f t="shared" si="28"/>
        <v>0</v>
      </c>
      <c r="P98" s="239">
        <f t="shared" si="28"/>
        <v>0</v>
      </c>
      <c r="Q98" s="239">
        <f t="shared" si="28"/>
        <v>0</v>
      </c>
      <c r="R98" s="239">
        <f t="shared" si="28"/>
        <v>0</v>
      </c>
      <c r="S98" s="239">
        <f t="shared" si="28"/>
        <v>0</v>
      </c>
      <c r="T98" s="239">
        <f t="shared" si="28"/>
        <v>0</v>
      </c>
      <c r="U98" s="239">
        <f t="shared" si="28"/>
        <v>0</v>
      </c>
    </row>
    <row r="99" spans="1:23">
      <c r="A99" s="21" t="s">
        <v>136</v>
      </c>
      <c r="B99" s="229">
        <v>0</v>
      </c>
      <c r="C99" s="229">
        <v>0</v>
      </c>
      <c r="D99" s="229">
        <v>0</v>
      </c>
      <c r="E99" s="229">
        <v>0</v>
      </c>
      <c r="F99" s="229">
        <v>0</v>
      </c>
      <c r="G99" s="229">
        <v>0</v>
      </c>
      <c r="H99" s="229">
        <v>0</v>
      </c>
      <c r="I99" s="229">
        <v>0</v>
      </c>
      <c r="J99" s="229">
        <v>0</v>
      </c>
      <c r="K99" s="229">
        <v>0</v>
      </c>
      <c r="L99" s="229">
        <v>0</v>
      </c>
      <c r="M99" s="229">
        <v>0</v>
      </c>
      <c r="N99" s="229">
        <v>0</v>
      </c>
      <c r="O99" s="229">
        <v>0</v>
      </c>
      <c r="P99" s="229">
        <v>0</v>
      </c>
      <c r="Q99" s="229">
        <v>0</v>
      </c>
      <c r="R99" s="229">
        <v>0</v>
      </c>
      <c r="S99" s="229">
        <v>0</v>
      </c>
      <c r="T99" s="20">
        <f>IF(L98&gt;(SUM(M100:S100)+SUM(L99:S99))*-1,L98-(SUM(L100:S100)+SUM(L99:S99))*-1,0)</f>
        <v>0</v>
      </c>
      <c r="U99" s="20">
        <f>IF(M98&gt;(SUM(N100:T100)+SUM(M99:T99))*-1,M98-(SUM(M100:T100)+SUM(M99:T99))*-1,0)</f>
        <v>0</v>
      </c>
    </row>
    <row r="100" spans="1:23">
      <c r="A100" s="17" t="s">
        <v>137</v>
      </c>
      <c r="B100" s="230">
        <f t="shared" ref="B100:T100" si="29">IF(B95&lt;0,0,IF(B97&gt;B95,-B95,-B97))</f>
        <v>0</v>
      </c>
      <c r="C100" s="230">
        <f t="shared" si="29"/>
        <v>0</v>
      </c>
      <c r="D100" s="230">
        <f t="shared" si="29"/>
        <v>0</v>
      </c>
      <c r="E100" s="230">
        <f t="shared" si="29"/>
        <v>-476.86938985455458</v>
      </c>
      <c r="F100" s="230">
        <f t="shared" si="29"/>
        <v>-508.26418451784548</v>
      </c>
      <c r="G100" s="230">
        <f t="shared" si="29"/>
        <v>0</v>
      </c>
      <c r="H100" s="230">
        <f t="shared" si="29"/>
        <v>0</v>
      </c>
      <c r="I100" s="230">
        <f t="shared" si="29"/>
        <v>0</v>
      </c>
      <c r="J100" s="230">
        <f t="shared" si="29"/>
        <v>0</v>
      </c>
      <c r="K100" s="230">
        <f t="shared" si="29"/>
        <v>0</v>
      </c>
      <c r="L100" s="230">
        <f t="shared" si="29"/>
        <v>0</v>
      </c>
      <c r="M100" s="230">
        <f t="shared" si="29"/>
        <v>0</v>
      </c>
      <c r="N100" s="230">
        <f t="shared" si="29"/>
        <v>0</v>
      </c>
      <c r="O100" s="230">
        <f t="shared" si="29"/>
        <v>0</v>
      </c>
      <c r="P100" s="230">
        <f t="shared" si="29"/>
        <v>0</v>
      </c>
      <c r="Q100" s="230">
        <f t="shared" si="29"/>
        <v>0</v>
      </c>
      <c r="R100" s="230">
        <f t="shared" si="29"/>
        <v>0</v>
      </c>
      <c r="S100" s="230">
        <f t="shared" si="29"/>
        <v>0</v>
      </c>
      <c r="T100" s="230">
        <f t="shared" si="29"/>
        <v>0</v>
      </c>
      <c r="U100" s="230">
        <f>IF(U95&lt;0,0,IF(U97&gt;U95,-U95,-U97))</f>
        <v>0</v>
      </c>
    </row>
    <row r="101" spans="1:23">
      <c r="A101" s="17" t="s">
        <v>138</v>
      </c>
      <c r="B101" s="230">
        <f t="shared" ref="B101:U101" si="30">SUM(B97:B100)</f>
        <v>71.938161466411671</v>
      </c>
      <c r="C101" s="230">
        <f t="shared" si="30"/>
        <v>581.59310986691605</v>
      </c>
      <c r="D101" s="230">
        <f t="shared" si="30"/>
        <v>985.13357437240006</v>
      </c>
      <c r="E101" s="230">
        <f t="shared" si="30"/>
        <v>508.26418451784548</v>
      </c>
      <c r="F101" s="230"/>
      <c r="G101" s="230">
        <f t="shared" si="30"/>
        <v>0</v>
      </c>
      <c r="H101" s="230">
        <f t="shared" si="30"/>
        <v>0</v>
      </c>
      <c r="I101" s="230">
        <f t="shared" si="30"/>
        <v>0</v>
      </c>
      <c r="J101" s="230">
        <f t="shared" si="30"/>
        <v>0</v>
      </c>
      <c r="K101" s="230">
        <f t="shared" si="30"/>
        <v>0</v>
      </c>
      <c r="L101" s="230">
        <f t="shared" si="30"/>
        <v>0</v>
      </c>
      <c r="M101" s="230">
        <f t="shared" si="30"/>
        <v>0</v>
      </c>
      <c r="N101" s="230">
        <f t="shared" si="30"/>
        <v>0</v>
      </c>
      <c r="O101" s="230">
        <f t="shared" si="30"/>
        <v>0</v>
      </c>
      <c r="P101" s="230">
        <f t="shared" si="30"/>
        <v>0</v>
      </c>
      <c r="Q101" s="230">
        <f t="shared" si="30"/>
        <v>0</v>
      </c>
      <c r="R101" s="230">
        <f t="shared" si="30"/>
        <v>0</v>
      </c>
      <c r="S101" s="230">
        <f t="shared" si="30"/>
        <v>0</v>
      </c>
      <c r="T101" s="230">
        <f t="shared" si="30"/>
        <v>0</v>
      </c>
      <c r="U101" s="230">
        <f t="shared" si="30"/>
        <v>0</v>
      </c>
    </row>
    <row r="102" spans="1:23">
      <c r="A102" s="17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3" ht="13.5" thickBot="1">
      <c r="A103" s="32" t="s">
        <v>130</v>
      </c>
      <c r="B103" s="327">
        <f t="shared" ref="B103:U103" si="31">IF(B95&lt;0,0,B95+B100)</f>
        <v>0</v>
      </c>
      <c r="C103" s="327">
        <f t="shared" si="31"/>
        <v>0</v>
      </c>
      <c r="D103" s="327">
        <f t="shared" si="31"/>
        <v>0</v>
      </c>
      <c r="E103" s="327">
        <f t="shared" si="31"/>
        <v>0</v>
      </c>
      <c r="F103" s="327">
        <f t="shared" si="31"/>
        <v>168.67061576399954</v>
      </c>
      <c r="G103" s="327">
        <f t="shared" si="31"/>
        <v>796.57904837055116</v>
      </c>
      <c r="H103" s="327">
        <f t="shared" si="31"/>
        <v>883.23441556514979</v>
      </c>
      <c r="I103" s="327">
        <f t="shared" si="31"/>
        <v>937.99156578106908</v>
      </c>
      <c r="J103" s="327">
        <f t="shared" si="31"/>
        <v>1002.3121917101313</v>
      </c>
      <c r="K103" s="327">
        <f t="shared" si="31"/>
        <v>1068.9751712284774</v>
      </c>
      <c r="L103" s="327">
        <f t="shared" si="31"/>
        <v>1154.6424801974197</v>
      </c>
      <c r="M103" s="327">
        <f t="shared" si="31"/>
        <v>1243.0125725101411</v>
      </c>
      <c r="N103" s="327">
        <f t="shared" si="31"/>
        <v>1336.4407138932136</v>
      </c>
      <c r="O103" s="327">
        <f t="shared" si="31"/>
        <v>1427.4183883985368</v>
      </c>
      <c r="P103" s="327">
        <f t="shared" si="31"/>
        <v>1518.5108721319368</v>
      </c>
      <c r="Q103" s="327">
        <f t="shared" si="31"/>
        <v>1891.962452880166</v>
      </c>
      <c r="R103" s="327">
        <f t="shared" si="31"/>
        <v>2268.8814672770086</v>
      </c>
      <c r="S103" s="327">
        <f t="shared" si="31"/>
        <v>2352.6300154025257</v>
      </c>
      <c r="T103" s="327">
        <f t="shared" si="31"/>
        <v>2429.3441204019532</v>
      </c>
      <c r="U103" s="327">
        <f t="shared" si="31"/>
        <v>2506.8473201240954</v>
      </c>
      <c r="W103" s="420">
        <f>SUM(B103:U103)</f>
        <v>22987.453411636379</v>
      </c>
    </row>
    <row r="104" spans="1:23">
      <c r="A104" s="7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>
      <c r="A105" s="7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>
      <c r="A106" s="519"/>
      <c r="B106" s="519"/>
      <c r="C106" s="519"/>
      <c r="D106" s="519"/>
      <c r="E106" s="519"/>
      <c r="F106" s="519"/>
      <c r="G106" s="519"/>
      <c r="H106" s="519"/>
      <c r="I106" s="519"/>
      <c r="J106" s="519"/>
      <c r="K106" s="519"/>
      <c r="L106" s="519"/>
      <c r="M106" s="519"/>
      <c r="N106" s="519"/>
      <c r="O106" s="519"/>
      <c r="P106" s="519"/>
      <c r="Q106" s="519"/>
      <c r="R106" s="519"/>
      <c r="S106" s="519"/>
      <c r="T106" s="519"/>
      <c r="U106" s="519"/>
    </row>
    <row r="107" spans="1:23">
      <c r="A107" s="7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>
      <c r="A108" s="522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>
      <c r="A109" s="523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>
      <c r="A110" s="7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>
      <c r="A111" s="7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>
      <c r="A112" s="79"/>
      <c r="B112" s="59"/>
      <c r="C112" s="525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>
      <c r="A113" s="79"/>
      <c r="B113" s="59"/>
      <c r="C113" s="525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>
      <c r="A114" s="79"/>
      <c r="B114" s="59"/>
      <c r="C114" s="525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>
      <c r="A115" s="69"/>
      <c r="B115" s="59"/>
      <c r="C115" s="525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>
      <c r="A116" s="81"/>
      <c r="B116" s="59"/>
      <c r="C116" s="525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>
      <c r="A117" s="524"/>
      <c r="B117" s="152"/>
      <c r="C117" s="525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>
      <c r="A119" s="82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>
      <c r="A120" s="82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>
      <c r="A122" s="82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>
      <c r="A123" s="7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>
      <c r="A124" s="7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>
      <c r="A126" s="8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>
      <c r="A127" s="7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>
      <c r="A128" s="8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>
      <c r="A129" s="8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ht="15" customHeight="1">
      <c r="A130" s="80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>
      <c r="A131" s="80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ht="14.25" customHeight="1">
      <c r="A132" s="80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>
      <c r="A133" s="80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>
      <c r="A134" s="80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</row>
    <row r="135" spans="1:21">
      <c r="A135" s="83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</row>
    <row r="136" spans="1:21">
      <c r="A136" s="83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1:21">
      <c r="A137" s="83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 spans="1:21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1:21">
      <c r="A139" s="7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 spans="1:21">
      <c r="A140" s="7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pans="1:21">
      <c r="A141" s="7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ht="18.75">
      <c r="A142" s="84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>
      <c r="A143" s="57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>
      <c r="A144" s="57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>
      <c r="A145" s="7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>
      <c r="A146" s="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>
      <c r="A147" s="2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>
      <c r="A148" s="80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>
      <c r="A149" s="79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>
      <c r="A150" s="7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>
      <c r="A151" s="78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>
      <c r="A152" s="69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>
      <c r="A153" s="80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>
      <c r="A154" s="7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>
      <c r="A155" s="79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>
      <c r="A158" s="69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>
      <c r="A160" s="69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>
      <c r="A161" s="80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>
      <c r="A162" s="7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>
      <c r="A163" s="80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>
      <c r="A164" s="82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>
      <c r="A165" s="7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>
      <c r="A166" s="78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>
      <c r="A167" s="7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>
      <c r="A168" s="78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>
      <c r="A170" s="79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>
      <c r="A171" s="79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>
      <c r="A173" s="79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>
      <c r="A175" s="80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>
      <c r="A176" s="81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>
      <c r="A178" s="82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>
      <c r="A179" s="82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>
      <c r="A182" s="78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>
      <c r="A183" s="80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>
      <c r="A184" s="80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>
      <c r="A185" s="80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>
      <c r="A186" s="80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>
      <c r="A187" s="80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>
      <c r="A188" s="80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>
      <c r="A189" s="80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>
      <c r="A190" s="7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</row>
    <row r="191" spans="1:21">
      <c r="A191" s="7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</row>
    <row r="192" spans="1:21">
      <c r="A192" s="7"/>
      <c r="B192" s="7"/>
      <c r="C192" s="7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</row>
    <row r="193" spans="1:21" ht="18.75">
      <c r="A193" s="8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>
      <c r="A194" s="5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>
      <c r="A195" s="5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>
      <c r="A197" s="2"/>
      <c r="B197" s="9"/>
      <c r="C197" s="9"/>
      <c r="D197" s="9"/>
      <c r="E197" s="9"/>
      <c r="F197" s="9"/>
      <c r="G197" s="9"/>
      <c r="H197" s="9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>
      <c r="A198" s="5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>
      <c r="A200" s="86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>
      <c r="A201" s="86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>
      <c r="A204" s="7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>
      <c r="A205" s="57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>
      <c r="A211" s="86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86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>
      <c r="A217" s="57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>
      <c r="A220" s="57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>
      <c r="A221" s="57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>
      <c r="A222" s="7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7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>
      <c r="A226" s="57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>
      <c r="A227" s="7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>
      <c r="A229" s="86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>
      <c r="A230" s="86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>
      <c r="A231" s="86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86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>
      <c r="A234" s="86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>
      <c r="A236" s="57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7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>
      <c r="A238" s="57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>
      <c r="A239" s="57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>
      <c r="A241" s="57"/>
      <c r="B241" s="7"/>
      <c r="C241" s="59"/>
      <c r="D241" s="59"/>
      <c r="E241" s="59"/>
      <c r="F241" s="59"/>
      <c r="G241" s="59"/>
      <c r="H241" s="59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>
      <c r="A242" s="57"/>
      <c r="B242" s="7"/>
      <c r="C242" s="59"/>
      <c r="D242" s="59"/>
      <c r="E242" s="59"/>
      <c r="F242" s="59"/>
      <c r="G242" s="59"/>
      <c r="H242" s="5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>
      <c r="A243" s="57"/>
      <c r="B243" s="7"/>
      <c r="C243" s="59"/>
      <c r="D243" s="59"/>
      <c r="E243" s="59"/>
      <c r="F243" s="59"/>
      <c r="G243" s="59"/>
      <c r="H243" s="5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>
      <c r="A244" s="57"/>
      <c r="B244" s="7"/>
      <c r="C244" s="59"/>
      <c r="D244" s="59"/>
      <c r="E244" s="59"/>
      <c r="F244" s="59"/>
      <c r="G244" s="59"/>
      <c r="H244" s="5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8.75">
      <c r="A246" s="8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>
      <c r="A247" s="5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s="90" customFormat="1">
      <c r="A250" s="89"/>
    </row>
    <row r="251" spans="1:21">
      <c r="A251" s="5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>
      <c r="A252" s="57"/>
      <c r="B252" s="7"/>
      <c r="C252" s="91"/>
      <c r="D252" s="91"/>
      <c r="E252" s="91"/>
      <c r="F252" s="91"/>
      <c r="G252" s="91"/>
      <c r="H252" s="91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>
      <c r="A253" s="57"/>
      <c r="B253" s="7"/>
      <c r="C253" s="91"/>
      <c r="D253" s="91"/>
      <c r="E253" s="91"/>
      <c r="F253" s="91"/>
      <c r="G253" s="91"/>
      <c r="H253" s="91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>
      <c r="A254" s="7"/>
      <c r="B254" s="7"/>
      <c r="C254" s="93"/>
      <c r="D254" s="93"/>
      <c r="E254" s="93"/>
      <c r="F254" s="93"/>
      <c r="G254" s="93"/>
      <c r="H254" s="93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>
      <c r="A255" s="5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>
      <c r="A256" s="8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>
      <c r="A257" s="94"/>
      <c r="B257" s="7"/>
      <c r="C257" s="59"/>
      <c r="D257" s="59"/>
      <c r="E257" s="59"/>
      <c r="F257" s="59"/>
      <c r="G257" s="59"/>
      <c r="H257" s="59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>
      <c r="A258" s="94"/>
      <c r="B258" s="7"/>
      <c r="C258" s="59"/>
      <c r="D258" s="59"/>
      <c r="E258" s="59"/>
      <c r="F258" s="59"/>
      <c r="G258" s="59"/>
      <c r="H258" s="5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>
      <c r="A259" s="94"/>
      <c r="B259" s="7"/>
      <c r="C259" s="59"/>
      <c r="D259" s="59"/>
      <c r="E259" s="59"/>
      <c r="F259" s="59"/>
      <c r="G259" s="59"/>
      <c r="H259" s="59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>
      <c r="A260" s="94"/>
      <c r="B260" s="7"/>
      <c r="C260" s="59"/>
      <c r="D260" s="59"/>
      <c r="E260" s="59"/>
      <c r="F260" s="59"/>
      <c r="G260" s="59"/>
      <c r="H260" s="59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>
      <c r="A261" s="94"/>
      <c r="B261" s="7"/>
      <c r="C261" s="91"/>
      <c r="D261" s="91"/>
      <c r="E261" s="91"/>
      <c r="F261" s="91"/>
      <c r="G261" s="91"/>
      <c r="H261" s="91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>
      <c r="A262" s="57"/>
      <c r="B262" s="7"/>
      <c r="C262" s="95"/>
      <c r="D262" s="95"/>
      <c r="E262" s="95"/>
      <c r="F262" s="95"/>
      <c r="G262" s="95"/>
      <c r="H262" s="95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>
      <c r="A263" s="94"/>
      <c r="B263" s="7"/>
      <c r="C263" s="96"/>
      <c r="D263" s="96"/>
      <c r="E263" s="96"/>
      <c r="F263" s="96"/>
      <c r="G263" s="96"/>
      <c r="H263" s="96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>
      <c r="A264" s="94"/>
      <c r="B264" s="7"/>
      <c r="C264" s="96"/>
      <c r="D264" s="96"/>
      <c r="E264" s="96"/>
      <c r="F264" s="96"/>
      <c r="G264" s="96"/>
      <c r="H264" s="96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>
      <c r="A265" s="94"/>
      <c r="B265" s="7"/>
      <c r="C265" s="96"/>
      <c r="D265" s="96"/>
      <c r="E265" s="96"/>
      <c r="F265" s="96"/>
      <c r="G265" s="96"/>
      <c r="H265" s="96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>
      <c r="A266" s="94"/>
      <c r="B266" s="7"/>
      <c r="C266" s="96"/>
      <c r="D266" s="96"/>
      <c r="E266" s="96"/>
      <c r="F266" s="96"/>
      <c r="G266" s="96"/>
      <c r="H266" s="96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>
      <c r="A267" s="94"/>
      <c r="B267" s="7"/>
      <c r="C267" s="95"/>
      <c r="D267" s="95"/>
      <c r="E267" s="95"/>
      <c r="F267" s="95"/>
      <c r="G267" s="95"/>
      <c r="H267" s="95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>
      <c r="A268" s="5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>
      <c r="A269" s="7"/>
      <c r="B269" s="7"/>
      <c r="C269" s="59"/>
      <c r="D269" s="59"/>
      <c r="E269" s="59"/>
      <c r="F269" s="59"/>
      <c r="G269" s="59"/>
      <c r="H269" s="5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>
      <c r="A270" s="7"/>
      <c r="B270" s="7"/>
      <c r="C270" s="59"/>
      <c r="D270" s="59"/>
      <c r="E270" s="59"/>
      <c r="F270" s="59"/>
      <c r="G270" s="59"/>
      <c r="H270" s="59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>
      <c r="A271" s="7"/>
      <c r="B271" s="7"/>
      <c r="C271" s="59"/>
      <c r="D271" s="59"/>
      <c r="E271" s="59"/>
      <c r="F271" s="59"/>
      <c r="G271" s="59"/>
      <c r="H271" s="5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>
      <c r="A272" s="7"/>
      <c r="B272" s="97"/>
      <c r="C272" s="59"/>
      <c r="D272" s="59"/>
      <c r="E272" s="59"/>
      <c r="F272" s="59"/>
      <c r="G272" s="59"/>
      <c r="H272" s="59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>
      <c r="A274" s="5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>
      <c r="A275" s="7"/>
      <c r="B275" s="7"/>
      <c r="C275" s="91"/>
      <c r="D275" s="91"/>
      <c r="E275" s="91"/>
      <c r="F275" s="91"/>
      <c r="G275" s="91"/>
      <c r="H275" s="9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>
      <c r="A276" s="94"/>
      <c r="B276" s="7"/>
      <c r="C276" s="91"/>
      <c r="D276" s="91"/>
      <c r="E276" s="91"/>
      <c r="F276" s="91"/>
      <c r="G276" s="91"/>
      <c r="H276" s="91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>
      <c r="A277" s="94"/>
      <c r="B277" s="7"/>
      <c r="C277" s="91"/>
      <c r="D277" s="91"/>
      <c r="E277" s="91"/>
      <c r="F277" s="91"/>
      <c r="G277" s="91"/>
      <c r="H277" s="91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>
      <c r="A278" s="94"/>
      <c r="B278" s="97"/>
      <c r="C278" s="91"/>
      <c r="D278" s="91"/>
      <c r="E278" s="91"/>
      <c r="F278" s="91"/>
      <c r="G278" s="91"/>
      <c r="H278" s="9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>
      <c r="A279" s="7"/>
      <c r="B279" s="7"/>
      <c r="C279" s="91"/>
      <c r="D279" s="91"/>
      <c r="E279" s="91"/>
      <c r="F279" s="91"/>
      <c r="G279" s="91"/>
      <c r="H279" s="91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>
      <c r="A280" s="7"/>
      <c r="B280" s="7"/>
      <c r="C280" s="91"/>
      <c r="D280" s="91"/>
      <c r="E280" s="91"/>
      <c r="F280" s="91"/>
      <c r="G280" s="91"/>
      <c r="H280" s="9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>
      <c r="A281" s="7"/>
      <c r="B281" s="7"/>
      <c r="C281" s="91"/>
      <c r="D281" s="91"/>
      <c r="E281" s="91"/>
      <c r="F281" s="91"/>
      <c r="G281" s="91"/>
      <c r="H281" s="91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>
      <c r="A283" s="7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>
      <c r="A284" s="7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>
      <c r="A286" s="57"/>
      <c r="B286" s="98"/>
      <c r="C286" s="98"/>
      <c r="D286" s="98"/>
      <c r="E286" s="98"/>
      <c r="F286" s="98"/>
      <c r="G286" s="98"/>
      <c r="H286" s="98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>
      <c r="A287" s="57"/>
      <c r="B287" s="97"/>
      <c r="C287" s="98"/>
      <c r="D287" s="98"/>
      <c r="E287" s="98"/>
      <c r="F287" s="98"/>
      <c r="G287" s="98"/>
      <c r="H287" s="98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>
      <c r="A288" s="57"/>
      <c r="B288" s="98"/>
      <c r="C288" s="98"/>
      <c r="D288" s="98"/>
      <c r="E288" s="98"/>
      <c r="F288" s="98"/>
      <c r="G288" s="98"/>
      <c r="H288" s="98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>
      <c r="A289" s="57"/>
      <c r="B289" s="7"/>
      <c r="C289" s="98"/>
      <c r="D289" s="98"/>
      <c r="E289" s="98"/>
      <c r="F289" s="98"/>
      <c r="G289" s="98"/>
      <c r="H289" s="98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>
      <c r="A291" s="5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>
      <c r="A292" s="5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>
      <c r="A294" s="7"/>
      <c r="B294" s="7"/>
      <c r="C294" s="87"/>
      <c r="D294" s="87"/>
      <c r="E294" s="87"/>
      <c r="F294" s="87"/>
      <c r="G294" s="87"/>
      <c r="H294" s="8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>
      <c r="A295" s="7"/>
      <c r="B295" s="7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>
      <c r="A296" s="7"/>
      <c r="B296" s="7"/>
      <c r="C296" s="99"/>
      <c r="D296" s="99"/>
      <c r="E296" s="99"/>
      <c r="F296" s="99"/>
      <c r="G296" s="99"/>
      <c r="H296" s="99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>
      <c r="A297" s="7"/>
      <c r="B297" s="7"/>
      <c r="C297" s="87"/>
      <c r="D297" s="87"/>
      <c r="E297" s="87"/>
      <c r="F297" s="87"/>
      <c r="G297" s="87"/>
      <c r="H297" s="8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>
      <c r="A298" s="7"/>
      <c r="B298" s="7"/>
      <c r="C298" s="99"/>
      <c r="D298" s="99"/>
      <c r="E298" s="99"/>
      <c r="F298" s="99"/>
      <c r="G298" s="99"/>
      <c r="H298" s="99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>
      <c r="A299" s="7"/>
      <c r="B299" s="7"/>
      <c r="C299" s="100"/>
      <c r="D299" s="100"/>
      <c r="E299" s="100"/>
      <c r="F299" s="100"/>
      <c r="G299" s="100"/>
      <c r="H299" s="100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>
      <c r="A300" s="7"/>
      <c r="B300" s="7"/>
      <c r="C300" s="100"/>
      <c r="D300" s="100"/>
      <c r="E300" s="100"/>
      <c r="F300" s="100"/>
      <c r="G300" s="100"/>
      <c r="H300" s="100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8.75" hidden="1" outlineLevel="1">
      <c r="A301" s="84"/>
      <c r="B301" s="7"/>
      <c r="C301" s="100"/>
      <c r="D301" s="100"/>
      <c r="E301" s="100"/>
      <c r="F301" s="100"/>
      <c r="G301" s="100"/>
      <c r="H301" s="100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idden="1" outlineLevel="1">
      <c r="A302" s="57"/>
      <c r="B302" s="7"/>
      <c r="C302" s="100"/>
      <c r="D302" s="100"/>
      <c r="E302" s="100"/>
      <c r="F302" s="100"/>
      <c r="G302" s="100"/>
      <c r="H302" s="100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idden="1" outlineLevel="1">
      <c r="A303" s="7"/>
      <c r="B303" s="7"/>
      <c r="C303" s="100"/>
      <c r="D303" s="100"/>
      <c r="E303" s="100"/>
      <c r="F303" s="100"/>
      <c r="G303" s="100"/>
      <c r="H303" s="100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idden="1" outlineLevel="1">
      <c r="A304" s="57"/>
      <c r="B304" s="11"/>
      <c r="C304" s="11"/>
      <c r="D304" s="10"/>
      <c r="E304" s="10"/>
      <c r="F304" s="11"/>
      <c r="G304" s="11"/>
      <c r="H304" s="10"/>
      <c r="I304" s="11"/>
      <c r="J304" s="11"/>
      <c r="K304" s="11"/>
      <c r="L304" s="10"/>
      <c r="M304" s="11"/>
      <c r="N304" s="11"/>
      <c r="O304" s="7"/>
      <c r="P304" s="7"/>
      <c r="Q304" s="7"/>
      <c r="R304" s="7"/>
      <c r="S304" s="7"/>
      <c r="T304" s="11"/>
      <c r="U304" s="7"/>
    </row>
    <row r="305" spans="1:26" hidden="1" outlineLevel="1">
      <c r="A305" s="5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6" hidden="1" outlineLevel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hidden="1" outlineLevel="1">
      <c r="A307" s="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7"/>
      <c r="P307" s="7"/>
      <c r="Q307" s="7"/>
      <c r="R307" s="7"/>
      <c r="S307" s="7"/>
      <c r="T307" s="87"/>
      <c r="U307" s="7"/>
    </row>
    <row r="308" spans="1:26" hidden="1" outlineLevel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hidden="1" outlineLevel="1">
      <c r="A309" s="7"/>
      <c r="B309" s="98"/>
      <c r="C309" s="98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7"/>
      <c r="P309" s="7"/>
      <c r="Q309" s="7"/>
      <c r="R309" s="7"/>
      <c r="S309" s="7"/>
      <c r="T309" s="87"/>
      <c r="U309" s="7"/>
    </row>
    <row r="310" spans="1:26" hidden="1" outlineLevel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hidden="1" outlineLevel="1">
      <c r="A311" s="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7"/>
      <c r="P311" s="7"/>
      <c r="Q311" s="7"/>
      <c r="R311" s="7"/>
      <c r="S311" s="7"/>
      <c r="T311" s="87"/>
      <c r="U311" s="87"/>
      <c r="V311" s="87"/>
      <c r="W311" s="87"/>
      <c r="X311" s="87"/>
      <c r="Y311" s="87"/>
      <c r="Z311" s="87"/>
    </row>
    <row r="312" spans="1:26" hidden="1" outlineLevel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hidden="1" outlineLevel="1">
      <c r="A313" s="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7"/>
      <c r="P313" s="7"/>
      <c r="Q313" s="7"/>
      <c r="R313" s="7"/>
      <c r="S313" s="7"/>
      <c r="T313" s="87"/>
      <c r="U313" s="7"/>
    </row>
    <row r="314" spans="1:26" hidden="1" outlineLevel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6" hidden="1" outlineLevel="1">
      <c r="A315" s="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7"/>
      <c r="P315" s="7"/>
      <c r="Q315" s="7"/>
      <c r="R315" s="7"/>
      <c r="S315" s="7"/>
      <c r="T315" s="87"/>
      <c r="U315" s="87"/>
    </row>
    <row r="316" spans="1:26" hidden="1" outlineLevel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6" hidden="1" outlineLevel="1">
      <c r="A317" s="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7"/>
      <c r="P317" s="7"/>
      <c r="Q317" s="7"/>
      <c r="R317" s="7"/>
      <c r="S317" s="7"/>
      <c r="T317" s="87"/>
      <c r="U317" s="87"/>
    </row>
    <row r="318" spans="1:26" hidden="1" outlineLevel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6" collapsed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8.75">
      <c r="A322" s="8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>
      <c r="A323" s="5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>
      <c r="A324" s="5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>
      <c r="A326" s="2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 spans="1:21">
      <c r="A327" s="5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>
      <c r="A330" s="86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>
      <c r="A331" s="86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>
      <c r="A333" s="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>
      <c r="A334" s="5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>
      <c r="A341" s="86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>
      <c r="A346" s="5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>
      <c r="A348" s="5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>
      <c r="A350" s="5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>
      <c r="A351" s="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>
      <c r="A352" s="5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>
      <c r="A353" s="86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>
      <c r="A355" s="86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>
      <c r="A358" s="5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>
      <c r="A359" s="86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>
      <c r="A364" s="2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>
      <c r="A366" s="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</row>
    <row r="367" spans="1:21">
      <c r="A367" s="5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</row>
    <row r="368" spans="1:21">
      <c r="A368" s="5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</row>
    <row r="369" spans="1:21">
      <c r="A369" s="5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</row>
    <row r="370" spans="1:2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8.75">
      <c r="A372" s="8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>
      <c r="A373" s="5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>
      <c r="A374" s="5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>
      <c r="A376" s="2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7"/>
      <c r="P376" s="7"/>
      <c r="Q376" s="7"/>
      <c r="R376" s="7"/>
      <c r="S376" s="7"/>
      <c r="T376" s="7"/>
      <c r="U376" s="7"/>
    </row>
    <row r="377" spans="1:21">
      <c r="A377" s="5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>
      <c r="A378" s="86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>
      <c r="A379" s="86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>
      <c r="A380" s="86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>
      <c r="A381" s="86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>
      <c r="A382" s="86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>
      <c r="A383" s="86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7"/>
      <c r="P383" s="7"/>
      <c r="Q383" s="7"/>
      <c r="R383" s="7"/>
      <c r="S383" s="7"/>
      <c r="T383" s="7"/>
      <c r="U383" s="7"/>
    </row>
    <row r="384" spans="1:21">
      <c r="A384" s="57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7"/>
      <c r="P384" s="7"/>
      <c r="Q384" s="7"/>
      <c r="R384" s="7"/>
      <c r="S384" s="7"/>
      <c r="T384" s="7"/>
      <c r="U384" s="7"/>
    </row>
    <row r="385" spans="1:2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>
      <c r="A391" s="86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>
      <c r="A397" s="5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>
      <c r="A398" s="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>
      <c r="A400" s="5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>
      <c r="A406" s="5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>
      <c r="A407" s="57"/>
      <c r="B407" s="101"/>
      <c r="C407" s="101"/>
      <c r="D407"/>
      <c r="E407"/>
      <c r="F407"/>
      <c r="G407"/>
      <c r="H407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>
      <c r="A408" s="57"/>
      <c r="B408" s="101"/>
      <c r="C408" s="101"/>
      <c r="D408"/>
      <c r="E408"/>
      <c r="F408"/>
      <c r="G408"/>
      <c r="H408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>
      <c r="A409" s="57"/>
      <c r="B409" s="101"/>
      <c r="C409" s="101"/>
      <c r="D409"/>
      <c r="E409"/>
      <c r="F409"/>
      <c r="G409"/>
      <c r="H409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>
      <c r="A410" s="7"/>
      <c r="B410" s="101"/>
      <c r="C410" s="101"/>
      <c r="D410"/>
      <c r="E410"/>
      <c r="F410"/>
      <c r="G410"/>
      <c r="H410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</row>
    <row r="411" spans="1:21">
      <c r="A411" s="7"/>
      <c r="B411" s="101"/>
      <c r="C411" s="101"/>
      <c r="D411"/>
      <c r="E411"/>
      <c r="F411"/>
      <c r="G411"/>
      <c r="H41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</row>
    <row r="412" spans="1:21">
      <c r="A412" s="7"/>
      <c r="B412" s="101"/>
      <c r="C412" s="101"/>
      <c r="D412"/>
      <c r="E412"/>
      <c r="F412"/>
      <c r="G412"/>
      <c r="H412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</row>
    <row r="413" spans="1:21">
      <c r="A413" s="7"/>
      <c r="B413" s="101"/>
      <c r="C413" s="101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</row>
    <row r="414" spans="1:21">
      <c r="A414" s="7"/>
      <c r="B414" s="101"/>
      <c r="C414" s="101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</row>
    <row r="415" spans="1:21">
      <c r="A415" s="7"/>
      <c r="B415" s="101"/>
      <c r="C415" s="101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</row>
    <row r="416" spans="1:21">
      <c r="A416" s="57"/>
      <c r="B416" s="101"/>
      <c r="C416" s="101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</row>
    <row r="417" spans="1:21">
      <c r="A417" s="7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>
      <c r="A418" s="7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>
      <c r="A419" s="57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>
      <c r="A420" s="57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>
      <c r="A421" s="7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>
      <c r="A423" s="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>
      <c r="A426" s="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>
      <c r="A427" s="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7"/>
      <c r="P428" s="7"/>
      <c r="Q428" s="7"/>
      <c r="R428" s="7"/>
      <c r="S428" s="7"/>
      <c r="T428" s="7"/>
      <c r="U428" s="7"/>
    </row>
    <row r="429" spans="1:21">
      <c r="A429" s="5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7"/>
      <c r="P429" s="7"/>
      <c r="Q429" s="7"/>
      <c r="R429" s="7"/>
      <c r="S429" s="7"/>
      <c r="T429" s="7"/>
      <c r="U429" s="7"/>
    </row>
    <row r="430" spans="1:21">
      <c r="A430" s="5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7"/>
      <c r="P430" s="7"/>
      <c r="Q430" s="7"/>
      <c r="R430" s="7"/>
      <c r="S430" s="7"/>
      <c r="T430" s="7"/>
      <c r="U430" s="7"/>
    </row>
    <row r="431" spans="1:21">
      <c r="A431" s="5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7"/>
      <c r="P431" s="7"/>
      <c r="Q431" s="7"/>
      <c r="R431" s="7"/>
      <c r="S431" s="7"/>
      <c r="T431" s="7"/>
      <c r="U431" s="7"/>
    </row>
    <row r="432" spans="1:21">
      <c r="A432" s="5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7"/>
      <c r="P432" s="7"/>
      <c r="Q432" s="7"/>
      <c r="R432" s="7"/>
      <c r="S432" s="7"/>
      <c r="T432" s="7"/>
      <c r="U432" s="7"/>
    </row>
    <row r="433" spans="1:21">
      <c r="A433" s="57"/>
      <c r="B433" s="102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7"/>
      <c r="P433" s="7"/>
      <c r="Q433" s="7"/>
      <c r="R433" s="7"/>
      <c r="S433" s="7"/>
      <c r="T433" s="7"/>
      <c r="U433" s="7"/>
    </row>
    <row r="434" spans="1:2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8.75">
      <c r="A435" s="8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>
      <c r="A436" s="5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>
      <c r="A439" s="2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</row>
    <row r="440" spans="1:21">
      <c r="A440" s="7"/>
      <c r="B440" s="7"/>
      <c r="C440" s="73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>
      <c r="A441" s="57"/>
      <c r="B441" s="7"/>
      <c r="C441" s="73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7"/>
      <c r="P441" s="7"/>
      <c r="Q441" s="7"/>
      <c r="R441" s="7"/>
      <c r="S441" s="7"/>
      <c r="T441" s="7"/>
      <c r="U441" s="7"/>
    </row>
    <row r="442" spans="1:21">
      <c r="A442" s="7"/>
      <c r="B442" s="7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"/>
      <c r="P442" s="7"/>
      <c r="Q442" s="7"/>
      <c r="R442" s="7"/>
      <c r="S442" s="7"/>
      <c r="T442" s="7"/>
      <c r="U442" s="7"/>
    </row>
    <row r="443" spans="1:21">
      <c r="A443" s="7"/>
      <c r="B443" s="7"/>
      <c r="C443" s="73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7"/>
      <c r="P443" s="7"/>
      <c r="Q443" s="7"/>
      <c r="R443" s="7"/>
      <c r="S443" s="7"/>
      <c r="T443" s="7"/>
      <c r="U443" s="7"/>
    </row>
    <row r="444" spans="1:21">
      <c r="A444" s="7"/>
      <c r="B444" s="7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"/>
      <c r="P444" s="7"/>
      <c r="Q444" s="7"/>
      <c r="R444" s="7"/>
      <c r="S444" s="7"/>
      <c r="T444" s="7"/>
      <c r="U444" s="7"/>
    </row>
    <row r="445" spans="1:21">
      <c r="A445" s="7"/>
      <c r="B445" s="7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"/>
      <c r="P445" s="7"/>
      <c r="Q445" s="7"/>
      <c r="R445" s="7"/>
      <c r="S445" s="7"/>
      <c r="T445" s="7"/>
      <c r="U445" s="7"/>
    </row>
    <row r="446" spans="1:21">
      <c r="A446" s="94"/>
      <c r="B446" s="7"/>
      <c r="C446" s="73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7"/>
      <c r="P446" s="7"/>
      <c r="Q446" s="7"/>
      <c r="R446" s="7"/>
      <c r="S446" s="7"/>
      <c r="T446" s="7"/>
      <c r="U446" s="7"/>
    </row>
    <row r="447" spans="1:21">
      <c r="A447" s="94"/>
      <c r="B447" s="7"/>
      <c r="C447" s="73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7"/>
      <c r="P447" s="7"/>
      <c r="Q447" s="7"/>
      <c r="R447" s="7"/>
      <c r="S447" s="7"/>
      <c r="T447" s="7"/>
      <c r="U447" s="7"/>
    </row>
    <row r="448" spans="1:21">
      <c r="A448" s="57"/>
      <c r="B448" s="7"/>
      <c r="C448" s="73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>
      <c r="A449" s="7"/>
      <c r="B449" s="102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7"/>
      <c r="P449" s="7"/>
      <c r="Q449" s="7"/>
      <c r="R449" s="7"/>
      <c r="S449" s="7"/>
      <c r="T449" s="7"/>
      <c r="U449" s="7"/>
    </row>
    <row r="450" spans="1:21">
      <c r="A450" s="7"/>
      <c r="B450" s="7"/>
      <c r="C450" s="73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>
      <c r="A451" s="57"/>
      <c r="B451" s="7"/>
      <c r="C451" s="73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7"/>
      <c r="P451" s="7"/>
      <c r="Q451" s="7"/>
      <c r="R451" s="7"/>
      <c r="S451" s="7"/>
      <c r="T451" s="7"/>
      <c r="U451" s="7"/>
    </row>
    <row r="452" spans="1:21">
      <c r="A452" s="7"/>
      <c r="B452" s="7"/>
      <c r="C452" s="73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7"/>
      <c r="P452" s="7"/>
      <c r="Q452" s="7"/>
      <c r="R452" s="7"/>
      <c r="S452" s="7"/>
      <c r="T452" s="7"/>
      <c r="U452" s="7"/>
    </row>
    <row r="453" spans="1:21">
      <c r="A453" s="57"/>
      <c r="B453" s="7"/>
      <c r="C453" s="7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7"/>
      <c r="P453" s="7"/>
      <c r="Q453" s="7"/>
      <c r="R453" s="7"/>
      <c r="S453" s="7"/>
      <c r="T453" s="7"/>
      <c r="U453" s="7"/>
    </row>
    <row r="454" spans="1:2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s="106" customFormat="1" ht="18.75">
      <c r="A456" s="104"/>
      <c r="B456" s="105"/>
      <c r="C456" s="105"/>
    </row>
    <row r="457" spans="1:21" s="106" customFormat="1">
      <c r="A457" s="105"/>
      <c r="B457" s="107"/>
      <c r="C457" s="108"/>
      <c r="D457" s="105"/>
      <c r="E457" s="109"/>
    </row>
    <row r="458" spans="1:21" s="106" customFormat="1">
      <c r="A458" s="105"/>
      <c r="B458" s="110"/>
      <c r="C458" s="88"/>
      <c r="D458" s="88"/>
      <c r="E458" s="109"/>
    </row>
    <row r="459" spans="1:21" s="106" customFormat="1">
      <c r="A459" s="105"/>
      <c r="B459" s="88"/>
      <c r="C459" s="109"/>
      <c r="D459" s="88"/>
      <c r="E459" s="110"/>
    </row>
    <row r="460" spans="1:21" s="106" customFormat="1">
      <c r="A460" s="111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</row>
    <row r="461" spans="1:21" s="106" customFormat="1">
      <c r="A461" s="80"/>
      <c r="B461" s="105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06" customFormat="1">
      <c r="A462" s="79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>
      <c r="A463" s="79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>
      <c r="A464" s="79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>
      <c r="A465" s="78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>
      <c r="A466" s="69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>
      <c r="A467" s="80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>
      <c r="A468" s="113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>
      <c r="A469" s="113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>
      <c r="A470" s="113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>
      <c r="A471" s="113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>
      <c r="A473" s="83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>
      <c r="A474" s="113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>
      <c r="A479" s="80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>
      <c r="A480" s="80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>
      <c r="A481" s="80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>
      <c r="A482" s="80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>
      <c r="A483" s="79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>
      <c r="A484" s="79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>
      <c r="A485" s="80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>
      <c r="A486" s="82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</row>
    <row r="487" spans="1:21" s="106" customFormat="1">
      <c r="A487" s="79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ht="13.9" customHeight="1">
      <c r="A488" s="78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16" customFormat="1">
      <c r="A489" s="115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>
      <c r="A490" s="78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>
      <c r="A492" s="79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>
      <c r="A493" s="79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s="106" customFormat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>
      <c r="A495" s="80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16" customFormat="1">
      <c r="A496"/>
      <c r="B496"/>
      <c r="C496"/>
      <c r="D496"/>
      <c r="E496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>
      <c r="A497"/>
      <c r="B497"/>
      <c r="C497"/>
      <c r="D497"/>
      <c r="E497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>
      <c r="A498"/>
      <c r="B498"/>
      <c r="C498"/>
      <c r="D498"/>
      <c r="E498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>
      <c r="A499"/>
      <c r="B499"/>
      <c r="C499"/>
      <c r="D499"/>
      <c r="E499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>
      <c r="A500"/>
      <c r="B500"/>
      <c r="C500"/>
      <c r="D500"/>
      <c r="E500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>
      <c r="A501"/>
      <c r="B501"/>
      <c r="C501"/>
      <c r="D501"/>
      <c r="E501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16" customFormat="1">
      <c r="A502"/>
      <c r="B502"/>
      <c r="C502"/>
      <c r="D502"/>
      <c r="E50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06" customFormat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16" customFormat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>
      <c r="A507" s="80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16" customFormat="1">
      <c r="A508" s="117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06" customFormat="1">
      <c r="A509" s="80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>
      <c r="A510" s="80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>
      <c r="A511" s="80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8.75">
      <c r="A515" s="8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>
      <c r="A516" s="5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>
      <c r="A517" s="118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7"/>
      <c r="N517" s="7"/>
      <c r="O517" s="7"/>
      <c r="P517" s="7"/>
      <c r="Q517" s="7"/>
      <c r="R517" s="7"/>
      <c r="S517" s="7"/>
      <c r="T517" s="7"/>
      <c r="U517" s="7"/>
    </row>
    <row r="518" spans="1:2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>
      <c r="A519" s="2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1">
      <c r="A520" s="5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1">
      <c r="A521" s="86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1">
      <c r="A522" s="86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1">
      <c r="A523" s="119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1">
      <c r="A524" s="86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1">
      <c r="A525" s="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idden="1" outlineLevel="1">
      <c r="A526" s="5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1">
      <c r="A527" s="86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1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1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1">
      <c r="A530" s="86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1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1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1">
      <c r="A533" s="86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1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1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1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1">
      <c r="A537" s="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1">
      <c r="A538" s="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1">
      <c r="A539" s="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1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1">
      <c r="A541" s="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1">
      <c r="A542" s="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1">
      <c r="A543" s="5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1">
      <c r="A544" s="86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collapsed="1">
      <c r="A545" s="5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5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5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5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102</vt:i4>
      </vt:variant>
    </vt:vector>
  </HeadingPairs>
  <TitlesOfParts>
    <vt:vector size="118" baseType="lpstr">
      <vt:lpstr>Summary Output</vt:lpstr>
      <vt:lpstr>Assumptions</vt:lpstr>
      <vt:lpstr>Power Price Assumption</vt:lpstr>
      <vt:lpstr>IS</vt:lpstr>
      <vt:lpstr>Debt</vt:lpstr>
      <vt:lpstr>CF</vt:lpstr>
      <vt:lpstr>Depreciation</vt:lpstr>
      <vt:lpstr>Tax</vt:lpstr>
      <vt:lpstr>Brownsville</vt:lpstr>
      <vt:lpstr>Caledonia</vt:lpstr>
      <vt:lpstr>New Albany</vt:lpstr>
      <vt:lpstr>Gleason</vt:lpstr>
      <vt:lpstr>Wheatland</vt:lpstr>
      <vt:lpstr>Wilton</vt:lpstr>
      <vt:lpstr>Amortization of Power Contract</vt:lpstr>
      <vt:lpstr>Allocation</vt:lpstr>
      <vt:lpstr>Gleason!Coso_Distributable_Cash</vt:lpstr>
      <vt:lpstr>'New Albany'!Coso_Distributable_Cash</vt:lpstr>
      <vt:lpstr>Wheatland!Coso_Distributable_Cash</vt:lpstr>
      <vt:lpstr>Gleason!Coso_Net_ATCash</vt:lpstr>
      <vt:lpstr>'New Albany'!Coso_Net_ATCash</vt:lpstr>
      <vt:lpstr>Wheatland!Coso_Net_ATCash</vt:lpstr>
      <vt:lpstr>Gleason!Coso_Net_Income</vt:lpstr>
      <vt:lpstr>'New Albany'!Coso_Net_Income</vt:lpstr>
      <vt:lpstr>Wheatland!Coso_Net_Income</vt:lpstr>
      <vt:lpstr>Gleason!Energy_Credit_Coso</vt:lpstr>
      <vt:lpstr>'New Albany'!Energy_Credit_Coso</vt:lpstr>
      <vt:lpstr>Wheatland!Energy_Credit_Coso</vt:lpstr>
      <vt:lpstr>Gleason!FPOC_Distributable_Cash</vt:lpstr>
      <vt:lpstr>'New Albany'!FPOC_Distributable_Cash</vt:lpstr>
      <vt:lpstr>Wheatland!FPOC_Distributable_Cash</vt:lpstr>
      <vt:lpstr>Gleason!FPOC_Net_ATCash</vt:lpstr>
      <vt:lpstr>'New Albany'!FPOC_Net_ATCash</vt:lpstr>
      <vt:lpstr>Wheatland!FPOC_Net_ATCash</vt:lpstr>
      <vt:lpstr>Gleason!FPOC_Net_Income</vt:lpstr>
      <vt:lpstr>'New Albany'!FPOC_Net_Income</vt:lpstr>
      <vt:lpstr>Wheatland!FPOC_Net_Income</vt:lpstr>
      <vt:lpstr>Gleason!FSGC_ATCash</vt:lpstr>
      <vt:lpstr>'New Albany'!FSGC_ATCash</vt:lpstr>
      <vt:lpstr>Wheatland!FSGC_ATCash</vt:lpstr>
      <vt:lpstr>Gleason!FSGC_Distributable_Cash</vt:lpstr>
      <vt:lpstr>'New Albany'!FSGC_Distributable_Cash</vt:lpstr>
      <vt:lpstr>Wheatland!FSGC_Distributable_Cash</vt:lpstr>
      <vt:lpstr>Gleason!FSGC_Net_Income</vt:lpstr>
      <vt:lpstr>'New Albany'!FSGC_Net_Income</vt:lpstr>
      <vt:lpstr>Wheatland!FSGC_Net_Income</vt:lpstr>
      <vt:lpstr>Gleason!Minerals_Distributable_Cash</vt:lpstr>
      <vt:lpstr>'New Albany'!Minerals_Distributable_Cash</vt:lpstr>
      <vt:lpstr>Wheatland!Minerals_Distributable_Cash</vt:lpstr>
      <vt:lpstr>Gleason!Minerals_Net_ATCash</vt:lpstr>
      <vt:lpstr>'New Albany'!Minerals_Net_ATCash</vt:lpstr>
      <vt:lpstr>Wheatland!Minerals_Net_ATCash</vt:lpstr>
      <vt:lpstr>Gleason!Minerals_Net_Income</vt:lpstr>
      <vt:lpstr>'New Albany'!Minerals_Net_Income</vt:lpstr>
      <vt:lpstr>Wheatland!Minerals_Net_Income</vt:lpstr>
      <vt:lpstr>Gleason!Norcon_Distributable_Cash</vt:lpstr>
      <vt:lpstr>'New Albany'!Norcon_Distributable_Cash</vt:lpstr>
      <vt:lpstr>Wheatland!Norcon_Distributable_Cash</vt:lpstr>
      <vt:lpstr>Gleason!Norcon_Net_ATCash</vt:lpstr>
      <vt:lpstr>'New Albany'!Norcon_Net_ATCash</vt:lpstr>
      <vt:lpstr>Wheatland!Norcon_Net_ATCash</vt:lpstr>
      <vt:lpstr>Gleason!Norcon_Net_Income</vt:lpstr>
      <vt:lpstr>'New Albany'!Norcon_Net_Income</vt:lpstr>
      <vt:lpstr>Wheatland!Norcon_Net_Income</vt:lpstr>
      <vt:lpstr>Gleason!PRI_Cash_Taxes</vt:lpstr>
      <vt:lpstr>'New Albany'!PRI_Cash_Taxes</vt:lpstr>
      <vt:lpstr>Wheatland!PRI_Cash_Taxes</vt:lpstr>
      <vt:lpstr>Gleason!PRI_Net_ATCash</vt:lpstr>
      <vt:lpstr>'New Albany'!PRI_Net_ATCash</vt:lpstr>
      <vt:lpstr>Wheatland!PRI_Net_ATCash</vt:lpstr>
      <vt:lpstr>Gleason!PRI_Net_Income</vt:lpstr>
      <vt:lpstr>'New Albany'!PRI_Net_Income</vt:lpstr>
      <vt:lpstr>Wheatland!PRI_Net_Income</vt:lpstr>
      <vt:lpstr>Allocation!Print_Area</vt:lpstr>
      <vt:lpstr>'Amortization of Power Contract'!Print_Area</vt:lpstr>
      <vt:lpstr>Assumptions!Print_Area</vt:lpstr>
      <vt:lpstr>Brownsville!Print_Area</vt:lpstr>
      <vt:lpstr>Caledonia!Print_Area</vt:lpstr>
      <vt:lpstr>CF!Print_Area</vt:lpstr>
      <vt:lpstr>Debt!Print_Area</vt:lpstr>
      <vt:lpstr>Depreciation!Print_Area</vt:lpstr>
      <vt:lpstr>Gleason!Print_Area</vt:lpstr>
      <vt:lpstr>IS!Print_Area</vt:lpstr>
      <vt:lpstr>'New Albany'!Print_Area</vt:lpstr>
      <vt:lpstr>'Summary Output'!Print_Area</vt:lpstr>
      <vt:lpstr>Tax!Print_Area</vt:lpstr>
      <vt:lpstr>Wheatland!Print_Area</vt:lpstr>
      <vt:lpstr>Wilton!Print_Area</vt:lpstr>
      <vt:lpstr>Gleason!Saranac_Distributable_Cash</vt:lpstr>
      <vt:lpstr>'New Albany'!Saranac_Distributable_Cash</vt:lpstr>
      <vt:lpstr>Wheatland!Saranac_Distributable_Cash</vt:lpstr>
      <vt:lpstr>Gleason!Saranac_Net_ATCash</vt:lpstr>
      <vt:lpstr>'New Albany'!Saranac_Net_ATCash</vt:lpstr>
      <vt:lpstr>Wheatland!Saranac_Net_ATCash</vt:lpstr>
      <vt:lpstr>Gleason!Saranac_Net_Income</vt:lpstr>
      <vt:lpstr>'New Albany'!Saranac_Net_Income</vt:lpstr>
      <vt:lpstr>Wheatland!Saranac_Net_Income</vt:lpstr>
      <vt:lpstr>Gleason!Yuma_Distributable_Cash</vt:lpstr>
      <vt:lpstr>'New Albany'!Yuma_Distributable_Cash</vt:lpstr>
      <vt:lpstr>Wheatland!Yuma_Distributable_Cash</vt:lpstr>
      <vt:lpstr>Gleason!Yuma_Net_ATCash</vt:lpstr>
      <vt:lpstr>'New Albany'!Yuma_Net_ATCash</vt:lpstr>
      <vt:lpstr>Wheatland!Yuma_Net_ATCash</vt:lpstr>
      <vt:lpstr>Gleason!Yuma_Net_Income</vt:lpstr>
      <vt:lpstr>'New Albany'!Yuma_Net_Income</vt:lpstr>
      <vt:lpstr>Wheatland!Yuma_Net_Income</vt:lpstr>
      <vt:lpstr>Gleason!zinc</vt:lpstr>
      <vt:lpstr>'New Albany'!zinc</vt:lpstr>
      <vt:lpstr>Wheatland!zinc</vt:lpstr>
      <vt:lpstr>Gleason!Zinc_Distributable_Cash</vt:lpstr>
      <vt:lpstr>'New Albany'!Zinc_Distributable_Cash</vt:lpstr>
      <vt:lpstr>Wheatland!Zinc_Distributable_Cash</vt:lpstr>
      <vt:lpstr>Gleason!Zinc_Net_ATCash</vt:lpstr>
      <vt:lpstr>'New Albany'!Zinc_Net_ATCash</vt:lpstr>
      <vt:lpstr>Wheatland!Zinc_Net_ATCash</vt:lpstr>
      <vt:lpstr>Gleason!Zinc_Net_Income</vt:lpstr>
      <vt:lpstr>'New Albany'!Zinc_Net_Income</vt:lpstr>
      <vt:lpstr>Wheatland!Zinc_Net_Income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2000-05-18T22:26:42Z</cp:lastPrinted>
  <dcterms:created xsi:type="dcterms:W3CDTF">1999-04-02T01:38:38Z</dcterms:created>
  <dcterms:modified xsi:type="dcterms:W3CDTF">2014-09-03T11:35:55Z</dcterms:modified>
</cp:coreProperties>
</file>