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240" yWindow="-195" windowWidth="14340" windowHeight="4755" tabRatio="899" firstSheet="1" activeTab="1"/>
  </bookViews>
  <sheets>
    <sheet name="monci" sheetId="14" state="veryHidden" r:id=""/>
    <sheet name="Tracker" sheetId="15" r:id="rId1"/>
    <sheet name="Value" sheetId="17" r:id="rId2"/>
    <sheet name="Project Assumptions" sheetId="1" r:id="rId3"/>
    <sheet name="PPA Assumptions &amp; Summary" sheetId="2" r:id="rId4"/>
    <sheet name="Operations" sheetId="3" r:id="rId5"/>
    <sheet name="Debt Amortization" sheetId="4" r:id="rId6"/>
    <sheet name="Book Income Statement" sheetId="6" r:id="rId7"/>
    <sheet name="Returns Summary" sheetId="5" r:id="rId8"/>
    <sheet name="Cash Flow Statement" sheetId="7" r:id="rId9"/>
    <sheet name="BS" sheetId="16" r:id="rId10"/>
    <sheet name="Tax Calculations" sheetId="8" r:id="rId11"/>
    <sheet name="Depreciation" sheetId="9" r:id="rId12"/>
    <sheet name="Interest During Construction" sheetId="10" r:id="rId13"/>
    <sheet name="Maintainance Reserves" sheetId="13" r:id="rId14"/>
  </sheets>
  <externalReferences>
    <externalReference r:id="rId15"/>
    <externalReference r:id="rId16"/>
    <externalReference r:id="rId17"/>
    <externalReference r:id="rId18"/>
    <externalReference r:id="rId19"/>
    <externalReference r:id="rId20"/>
    <externalReference r:id="rId21"/>
  </externalReferences>
  <definedNames>
    <definedName name="AnnualHours">'Project Assumptions'!$I$15</definedName>
    <definedName name="BI">'Book Income Statement'!$B$1:$X$72</definedName>
    <definedName name="BS">BS!$A$1:$V$45</definedName>
    <definedName name="BusnIInsr">'Project Assumptions'!$N$30</definedName>
    <definedName name="Cap_Factor_Energy">'Project Assumptions'!$I$24</definedName>
    <definedName name="CF">'Cash Flow Statement'!$A$1:$AB$44</definedName>
    <definedName name="Cost_Start_Turbine">'Project Assumptions'!$M$18</definedName>
    <definedName name="CountyAbatementRate">'Project Assumptions'!$U$13</definedName>
    <definedName name="CountyAbatementTerm">'Project Assumptions'!$U$12</definedName>
    <definedName name="CountyMillageRate">'Project Assumptions'!$U$11</definedName>
    <definedName name="CountyTaxAbatementTerm">'Project Assumptions'!$U$12</definedName>
    <definedName name="Debt">'Debt Amortization'!$A$1:$Y$60</definedName>
    <definedName name="DebtTerm">'Project Assumptions'!$I$40</definedName>
    <definedName name="Deg_Rate">'Project Assumptions'!$F$12</definedName>
    <definedName name="Deprec">Depreciation!$A$1:$X$57</definedName>
    <definedName name="Ebitda">'Book Income Statement'!$B$61:$AB$61</definedName>
    <definedName name="Energy_Margin">'Project Assumptions'!$F$24</definedName>
    <definedName name="Equity_Copy">BS!$D$35:$X$35</definedName>
    <definedName name="Equity_Paste">BS!$D$46:$X$46</definedName>
    <definedName name="EVAP_Date">'Project Assumptions'!$G$11</definedName>
    <definedName name="FercMWh">'Project Assumptions'!$N$9</definedName>
    <definedName name="Fixed">'Project Assumptions'!$N$21</definedName>
    <definedName name="FracYr1">'Project Assumptions'!$J$15</definedName>
    <definedName name="Fuel_Start">'Project Assumptions'!$N$16</definedName>
    <definedName name="GRACE1">'[5]Project Assumptions'!$F$36</definedName>
    <definedName name="GRACE2">'[5]Project Assumptions'!$G$36</definedName>
    <definedName name="Grace3">'[5]Project Assumptions'!$H$36</definedName>
    <definedName name="HeatRate">'Project Assumptions'!$I$13</definedName>
    <definedName name="IDC">'Interest During Construction'!$A$1:$H$59</definedName>
    <definedName name="_Int1">'Project Assumptions'!$F$41</definedName>
    <definedName name="_Int2">'Project Assumptions'!$G$41</definedName>
    <definedName name="_Int3">'Project Assumptions'!$H$41</definedName>
    <definedName name="InterestExpense">'Debt Amortization'!$D$89:$AC$89</definedName>
    <definedName name="InterestIncome">'Project Assumptions'!$U$21</definedName>
    <definedName name="ISO_MW">'Project Assumptions'!$I$9</definedName>
    <definedName name="Labor">'Project Assumptions'!$N$20</definedName>
    <definedName name="LiabInsr">'Project Assumptions'!$N$29</definedName>
    <definedName name="Loan_Copy">BS!$D$28:$X$28</definedName>
    <definedName name="Loan_Paste">BS!$D$45:$X$45</definedName>
    <definedName name="Loop">BS!$A$44</definedName>
    <definedName name="Main">'Maintainance Reserves'!$A$1:$W$44</definedName>
    <definedName name="Main_Escal">'Project Assumptions'!$P$15</definedName>
    <definedName name="Main_Start">'Project Assumptions'!$N$15</definedName>
    <definedName name="Main_Table">'Maintainance Reserves'!$E$19:$J$44</definedName>
    <definedName name="MainMWh">'Project Assumptions'!$N$10</definedName>
    <definedName name="Maint_Accrual">'Project Assumptions'!#REF!</definedName>
    <definedName name="NetMW">'Project Assumptions'!$I$10</definedName>
    <definedName name="NetMW_New">'Project Assumptions'!$I$11</definedName>
    <definedName name="OM_Escal">'Project Assumptions'!$N$41</definedName>
    <definedName name="Opcostescalation">'Project Assumptions'!$N$42</definedName>
    <definedName name="OpMachInsr">'Project Assumptions'!$N$31</definedName>
    <definedName name="Ops">Operations!$A$1:$W$48</definedName>
    <definedName name="PPA">'PPA Assumptions &amp; Summary'!$A$1:$X$81</definedName>
    <definedName name="PPA_Price">'Project Assumptions'!$I$30</definedName>
    <definedName name="PPACAPACITY">'Project Assumptions'!$I$28</definedName>
    <definedName name="PPAHours">'Project Assumptions'!$I$29</definedName>
    <definedName name="PPAterm">'Project Assumptions'!$F$27</definedName>
    <definedName name="principal">'Debt Amortization'!$D$90:$AC$90</definedName>
    <definedName name="Principal1">'Project Assumptions'!$F$39</definedName>
    <definedName name="Principal2">'Project Assumptions'!$G$39</definedName>
    <definedName name="Principal3">'Project Assumptions'!$H$39</definedName>
    <definedName name="_xlnm.Print_Area" localSheetId="7">'Book Income Statement'!$B$1:$W$72</definedName>
    <definedName name="_xlnm.Print_Area" localSheetId="9">'Cash Flow Statement'!$A$1:$W$44</definedName>
    <definedName name="_xlnm.Print_Area" localSheetId="6">'Debt Amortization'!$A$1:$Y$56</definedName>
    <definedName name="_xlnm.Print_Area" localSheetId="12">Depreciation!$A$1:$W$57</definedName>
    <definedName name="_xlnm.Print_Area" localSheetId="14">'Maintainance Reserves'!$A$1:$W$34</definedName>
    <definedName name="_xlnm.Print_Area" localSheetId="5">Operations!$A$1:$V$48</definedName>
    <definedName name="_xlnm.Print_Area" localSheetId="4">'PPA Assumptions &amp; Summary'!$A$1:$V$76</definedName>
    <definedName name="_xlnm.Print_Area" localSheetId="3">'Project Assumptions'!$A$2:$U$71</definedName>
    <definedName name="_xlnm.Print_Area" localSheetId="8">'Returns Summary'!$A$1:$V$42</definedName>
    <definedName name="_xlnm.Print_Area" localSheetId="11">'Tax Calculations'!$A$1:$W$54</definedName>
    <definedName name="_xlnm.Print_Area" localSheetId="1">Tracker!$A$2:$H$258</definedName>
    <definedName name="_xlnm.Print_Titles" localSheetId="7">'Book Income Statement'!$B:$C</definedName>
    <definedName name="_xlnm.Print_Titles" localSheetId="9">'Cash Flow Statement'!$A:$C</definedName>
    <definedName name="_xlnm.Print_Titles" localSheetId="6">'Debt Amortization'!$A:$C</definedName>
    <definedName name="_xlnm.Print_Titles" localSheetId="12">Depreciation!$A:$B</definedName>
    <definedName name="_xlnm.Print_Titles" localSheetId="14">'Maintainance Reserves'!$A:$B</definedName>
    <definedName name="_xlnm.Print_Titles" localSheetId="5">Operations!$A:$B</definedName>
    <definedName name="_xlnm.Print_Titles" localSheetId="4">'PPA Assumptions &amp; Summary'!$A:$B</definedName>
    <definedName name="_xlnm.Print_Titles" localSheetId="8">'Returns Summary'!$A:$B</definedName>
    <definedName name="_xlnm.Print_Titles" localSheetId="11">'Tax Calculations'!$A:$C</definedName>
    <definedName name="_xlnm.Print_Titles" localSheetId="1">Tracker!$2:$6</definedName>
    <definedName name="Pro_Ass">'Project Assumptions'!$A$1:$U$75</definedName>
    <definedName name="ProjectLife">'Project Assumptions'!$I$16</definedName>
    <definedName name="Returns">'Returns Summary'!$A$1:$AA$42</definedName>
    <definedName name="s">Tracker!$A$5:$X$11</definedName>
    <definedName name="SchoolAbatementRate">'Project Assumptions'!$U$10</definedName>
    <definedName name="SchoolMillageRate">'Project Assumptions'!$U$8</definedName>
    <definedName name="SchoolTaxAbatementTerm">'Project Assumptions'!$U$9</definedName>
    <definedName name="solver_adj" localSheetId="3" hidden="1">'Project Assumptions'!$I$30</definedName>
    <definedName name="solver_cvg" localSheetId="3" hidden="1">0.001</definedName>
    <definedName name="solver_drv" localSheetId="3" hidden="1">1</definedName>
    <definedName name="solver_est" localSheetId="3" hidden="1">1</definedName>
    <definedName name="solver_itr" localSheetId="3" hidden="1">100</definedName>
    <definedName name="solver_lin" localSheetId="3" hidden="1">2</definedName>
    <definedName name="solver_neg" localSheetId="3" hidden="1">2</definedName>
    <definedName name="solver_num" localSheetId="3" hidden="1">0</definedName>
    <definedName name="solver_nwt" localSheetId="3" hidden="1">1</definedName>
    <definedName name="solver_opt" localSheetId="3" hidden="1">'Project Assumptions'!$I$63</definedName>
    <definedName name="solver_pre" localSheetId="3" hidden="1">0.000001</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3</definedName>
    <definedName name="solver_val" localSheetId="3" hidden="1">0.12</definedName>
    <definedName name="StartDate">'Project Assumptions'!$I$17</definedName>
    <definedName name="StartMWh">'Project Assumptions'!#REF!</definedName>
    <definedName name="StartstoMajMaint">'Project Assumptions'!#REF!</definedName>
    <definedName name="StartsYear">'Project Assumptions'!$L$15</definedName>
    <definedName name="Tax">'Tax Calculations'!$A$1:$AB$63</definedName>
    <definedName name="Term1">'Project Assumptions'!$F$40</definedName>
    <definedName name="Term2">'Project Assumptions'!$G$40</definedName>
    <definedName name="Term3">'Project Assumptions'!$H$40</definedName>
    <definedName name="Variable">'Project Assumptions'!$L$10</definedName>
    <definedName name="VariableMwh">'Project Assumptions'!$N$11</definedName>
    <definedName name="VEP">'Project Assumptions'!$F$22</definedName>
    <definedName name="VEP_ESCAL">'Project Assumptions'!$I$22</definedName>
    <definedName name="WaterMWh">'Project Assumptions'!$N$8</definedName>
    <definedName name="WaterOM">'Project Assumptions'!$L$8</definedName>
    <definedName name="wrn.test1." localSheetId="6" hidden="1">{"Income Statement",#N/A,FALSE,"CFMODEL";"Balance Sheet",#N/A,FALSE,"CFMODEL"}</definedName>
    <definedName name="wrn.test1." localSheetId="14" hidden="1">{"Income Statement",#N/A,FALSE,"CFMODEL";"Balance Sheet",#N/A,FALSE,"CFMODEL"}</definedName>
    <definedName name="wrn.test1." localSheetId="8" hidden="1">{"Income Statement",#N/A,FALSE,"CFMODEL";"Balance Sheet",#N/A,FALSE,"CFMODEL"}</definedName>
    <definedName name="wrn.test1." hidden="1">{"Income Statement",#N/A,FALSE,"CFMODEL";"Balance Sheet",#N/A,FALSE,"CFMODEL"}</definedName>
    <definedName name="wrn.test2." localSheetId="6" hidden="1">{"SourcesUses",#N/A,TRUE,"CFMODEL";"TransOverview",#N/A,TRUE,"CFMODEL"}</definedName>
    <definedName name="wrn.test2." localSheetId="14" hidden="1">{"SourcesUses",#N/A,TRUE,"CFMODEL";"TransOverview",#N/A,TRUE,"CFMODEL"}</definedName>
    <definedName name="wrn.test2." localSheetId="8" hidden="1">{"SourcesUses",#N/A,TRUE,"CFMODEL";"TransOverview",#N/A,TRUE,"CFMODEL"}</definedName>
    <definedName name="wrn.test2." hidden="1">{"SourcesUses",#N/A,TRUE,"CFMODEL";"TransOverview",#N/A,TRUE,"CFMODEL"}</definedName>
    <definedName name="wrn.test3." localSheetId="6" hidden="1">{"SourcesUses",#N/A,TRUE,#N/A;"TransOverview",#N/A,TRUE,"CFMODEL"}</definedName>
    <definedName name="wrn.test3." localSheetId="14" hidden="1">{"SourcesUses",#N/A,TRUE,#N/A;"TransOverview",#N/A,TRUE,"CFMODEL"}</definedName>
    <definedName name="wrn.test3." localSheetId="8" hidden="1">{"SourcesUses",#N/A,TRUE,#N/A;"TransOverview",#N/A,TRUE,"CFMODEL"}</definedName>
    <definedName name="wrn.test3." hidden="1">{"SourcesUses",#N/A,TRUE,#N/A;"TransOverview",#N/A,TRUE,"CFMODEL"}</definedName>
    <definedName name="wrn.test4." localSheetId="6" hidden="1">{"SourcesUses",#N/A,TRUE,"FundsFlow";"TransOverview",#N/A,TRUE,"FundsFlow"}</definedName>
    <definedName name="wrn.test4." localSheetId="14" hidden="1">{"SourcesUses",#N/A,TRUE,"FundsFlow";"TransOverview",#N/A,TRUE,"FundsFlow"}</definedName>
    <definedName name="wrn.test4." localSheetId="8" hidden="1">{"SourcesUses",#N/A,TRUE,"FundsFlow";"TransOverview",#N/A,TRUE,"FundsFlow"}</definedName>
    <definedName name="wrn.test4." hidden="1">{"SourcesUses",#N/A,TRUE,"FundsFlow";"TransOverview",#N/A,TRUE,"FundsFlow"}</definedName>
    <definedName name="Z_14FB3146_3CEF_11D2_B9CE_0060080D6A65_.wvu.PrintArea" localSheetId="14" hidden="1">'Maintainance Reserves'!$C$1:$AA$34</definedName>
    <definedName name="Z_14FB3146_3CEF_11D2_B9CE_0060080D6A65_.wvu.PrintTitles" localSheetId="14" hidden="1">'Maintainance Reserves'!$A:$B</definedName>
    <definedName name="Z_14FB3146_3CEF_11D2_B9CE_0060080D6A65_.wvu.Rows" localSheetId="14" hidden="1">'Maintainance Reserves'!$15:$15,'Maintainance Reserves'!$27:$34</definedName>
    <definedName name="Z_87D5054C_0AAC_11D2_824B_00A0D1027254_.wvu.PrintArea" localSheetId="13" hidden="1">'Interest During Construction'!$A$2:$H$64</definedName>
    <definedName name="Z_9D7575BF_255B_11D2_8267_00A0D1027254_.wvu.PrintArea" localSheetId="7" hidden="1">'Book Income Statement'!$B$1:$AB$72</definedName>
    <definedName name="Z_9D7575BF_255B_11D2_8267_00A0D1027254_.wvu.PrintArea" localSheetId="9" hidden="1">'Cash Flow Statement'!$D$1:$AB$36</definedName>
    <definedName name="Z_9D7575BF_255B_11D2_8267_00A0D1027254_.wvu.PrintArea" localSheetId="14" hidden="1">'Maintainance Reserves'!$C$1:$AA$34</definedName>
    <definedName name="Z_9D7575BF_255B_11D2_8267_00A0D1027254_.wvu.PrintArea" localSheetId="3" hidden="1">'Project Assumptions'!$A$1:$N$63</definedName>
    <definedName name="Z_9D7575BF_255B_11D2_8267_00A0D1027254_.wvu.PrintArea" localSheetId="8" hidden="1">'Returns Summary'!$C$1:$AA$37</definedName>
    <definedName name="Z_9D7575BF_255B_11D2_8267_00A0D1027254_.wvu.PrintTitles" localSheetId="6" hidden="1">'Debt Amortization'!$A:$B</definedName>
    <definedName name="Z_9D7575BF_255B_11D2_8267_00A0D1027254_.wvu.PrintTitles" localSheetId="14" hidden="1">'Maintainance Reserves'!$A:$B</definedName>
    <definedName name="Z_9D7575BF_255B_11D2_8267_00A0D1027254_.wvu.Rows" localSheetId="7" hidden="1">'Book Income Statement'!$5:$8,'Book Income Statement'!#REF!</definedName>
    <definedName name="Z_9D7575BF_255B_11D2_8267_00A0D1027254_.wvu.Rows" localSheetId="14" hidden="1">'Maintainance Reserves'!$15:$15,'Maintainance Reserves'!$27:$34</definedName>
  </definedNames>
  <calcPr calcId="152511"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D4" i="6"/>
  <c r="E4" i="6"/>
  <c r="F4" i="6"/>
  <c r="B5" i="6"/>
  <c r="X5" i="6"/>
  <c r="B6" i="6"/>
  <c r="B7" i="6"/>
  <c r="X7" i="6"/>
  <c r="D15" i="6"/>
  <c r="D16" i="6"/>
  <c r="A1" i="16"/>
  <c r="D3" i="16"/>
  <c r="E3" i="16"/>
  <c r="F3" i="16"/>
  <c r="G3" i="16"/>
  <c r="H3" i="16"/>
  <c r="I3" i="16"/>
  <c r="J3" i="16"/>
  <c r="K3" i="16"/>
  <c r="L3" i="16"/>
  <c r="M3" i="16"/>
  <c r="N3" i="16"/>
  <c r="O3" i="16"/>
  <c r="P3" i="16"/>
  <c r="Q3" i="16"/>
  <c r="R3" i="16"/>
  <c r="S3" i="16"/>
  <c r="T3" i="16"/>
  <c r="U3" i="16"/>
  <c r="V3" i="16"/>
  <c r="W3" i="16"/>
  <c r="X3" i="16"/>
  <c r="D18" i="16"/>
  <c r="E18" i="16"/>
  <c r="F18" i="16"/>
  <c r="G18" i="16"/>
  <c r="H18" i="16"/>
  <c r="I18" i="16"/>
  <c r="J18" i="16"/>
  <c r="K18" i="16"/>
  <c r="L18" i="16"/>
  <c r="M18" i="16"/>
  <c r="N18" i="16"/>
  <c r="O18" i="16"/>
  <c r="P18" i="16"/>
  <c r="Q18" i="16"/>
  <c r="R18" i="16"/>
  <c r="S18" i="16"/>
  <c r="T18" i="16"/>
  <c r="U18" i="16"/>
  <c r="V18" i="16"/>
  <c r="W18" i="16"/>
  <c r="X18" i="16"/>
  <c r="X38" i="16"/>
  <c r="A1" i="7"/>
  <c r="E3" i="7"/>
  <c r="F3" i="7"/>
  <c r="G3" i="7"/>
  <c r="D4" i="7"/>
  <c r="E4" i="7"/>
  <c r="F4" i="7"/>
  <c r="G4" i="7"/>
  <c r="H4" i="7" s="1"/>
  <c r="I4" i="7" s="1"/>
  <c r="J4" i="7" s="1"/>
  <c r="K4" i="7" s="1"/>
  <c r="L4" i="7" s="1"/>
  <c r="M4" i="7" s="1"/>
  <c r="N4" i="7" s="1"/>
  <c r="O4" i="7" s="1"/>
  <c r="P4" i="7" s="1"/>
  <c r="Q4" i="7" s="1"/>
  <c r="R4" i="7" s="1"/>
  <c r="S4" i="7"/>
  <c r="T4" i="7" s="1"/>
  <c r="U4" i="7" s="1"/>
  <c r="V4" i="7" s="1"/>
  <c r="W4" i="7" s="1"/>
  <c r="X4" i="7" s="1"/>
  <c r="Y4" i="7" s="1"/>
  <c r="Z4" i="7" s="1"/>
  <c r="AA4" i="7" s="1"/>
  <c r="AB4" i="7" s="1"/>
  <c r="D8" i="7"/>
  <c r="D9" i="7"/>
  <c r="E9" i="7"/>
  <c r="Y11" i="7"/>
  <c r="Z11" i="7"/>
  <c r="AA11" i="7"/>
  <c r="AB11" i="7"/>
  <c r="C16" i="7"/>
  <c r="E17" i="7"/>
  <c r="D28" i="7"/>
  <c r="D29" i="7"/>
  <c r="D30" i="7" s="1"/>
  <c r="D32" i="7"/>
  <c r="E29" i="7" s="1"/>
  <c r="E32" i="7"/>
  <c r="F29" i="7" s="1"/>
  <c r="F32" i="7"/>
  <c r="G29" i="7" s="1"/>
  <c r="AC37" i="7"/>
  <c r="AD37" i="7"/>
  <c r="AB41" i="7"/>
  <c r="A1" i="4"/>
  <c r="F3" i="4"/>
  <c r="G3" i="4" s="1"/>
  <c r="H3" i="4" s="1"/>
  <c r="I3" i="4" s="1"/>
  <c r="J3" i="4" s="1"/>
  <c r="K3" i="4" s="1"/>
  <c r="L3" i="4" s="1"/>
  <c r="M3" i="4" s="1"/>
  <c r="N3" i="4" s="1"/>
  <c r="O3" i="4" s="1"/>
  <c r="P3" i="4" s="1"/>
  <c r="Q3" i="4" s="1"/>
  <c r="R3" i="4" s="1"/>
  <c r="S3" i="4" s="1"/>
  <c r="T3" i="4" s="1"/>
  <c r="U3" i="4" s="1"/>
  <c r="V3" i="4" s="1"/>
  <c r="W3" i="4" s="1"/>
  <c r="X3" i="4" s="1"/>
  <c r="Y3" i="4" s="1"/>
  <c r="E4" i="4"/>
  <c r="E5" i="4"/>
  <c r="F5" i="4" s="1"/>
  <c r="G5" i="4" s="1"/>
  <c r="H5" i="4" s="1"/>
  <c r="I5" i="4" s="1"/>
  <c r="J5" i="4"/>
  <c r="K5" i="4" s="1"/>
  <c r="L5" i="4" s="1"/>
  <c r="M5" i="4" s="1"/>
  <c r="N5" i="4" s="1"/>
  <c r="O5" i="4" s="1"/>
  <c r="P5" i="4" s="1"/>
  <c r="Q5" i="4" s="1"/>
  <c r="R5" i="4" s="1"/>
  <c r="S5" i="4" s="1"/>
  <c r="T5" i="4" s="1"/>
  <c r="U5" i="4" s="1"/>
  <c r="V5" i="4" s="1"/>
  <c r="W5" i="4" s="1"/>
  <c r="X5" i="4" s="1"/>
  <c r="Y5" i="4" s="1"/>
  <c r="E8" i="4"/>
  <c r="B17" i="4"/>
  <c r="B18" i="4"/>
  <c r="C18" i="4"/>
  <c r="E20" i="4"/>
  <c r="B65" i="4"/>
  <c r="C71" i="4" s="1"/>
  <c r="B67" i="4"/>
  <c r="B68" i="4"/>
  <c r="E69" i="4"/>
  <c r="Z69" i="4"/>
  <c r="AA69" i="4"/>
  <c r="AB69" i="4"/>
  <c r="AC69" i="4"/>
  <c r="E71" i="4"/>
  <c r="E73" i="4"/>
  <c r="G73" i="4"/>
  <c r="L73" i="4"/>
  <c r="M73" i="4"/>
  <c r="O73" i="4"/>
  <c r="S73" i="4"/>
  <c r="V73" i="4"/>
  <c r="W73" i="4"/>
  <c r="X73" i="4"/>
  <c r="Z73" i="4"/>
  <c r="AB73" i="4"/>
  <c r="E75" i="4"/>
  <c r="D77" i="4"/>
  <c r="B80" i="4"/>
  <c r="C86" i="4" s="1"/>
  <c r="B83" i="4"/>
  <c r="E84" i="4"/>
  <c r="Z84" i="4"/>
  <c r="AA84" i="4"/>
  <c r="AB84" i="4"/>
  <c r="AC84" i="4"/>
  <c r="D92" i="4"/>
  <c r="B95" i="4"/>
  <c r="B98" i="4"/>
  <c r="E99" i="4"/>
  <c r="Z99" i="4"/>
  <c r="AA99" i="4"/>
  <c r="AB99" i="4"/>
  <c r="AC99" i="4"/>
  <c r="C101" i="4"/>
  <c r="E101" i="4"/>
  <c r="H103" i="4"/>
  <c r="J103" i="4"/>
  <c r="K103" i="4"/>
  <c r="M103" i="4"/>
  <c r="Q103" i="4"/>
  <c r="R103" i="4"/>
  <c r="S103" i="4"/>
  <c r="T103" i="4"/>
  <c r="Y103" i="4"/>
  <c r="Z103" i="4"/>
  <c r="AA103" i="4"/>
  <c r="AB103" i="4"/>
  <c r="D107" i="4"/>
  <c r="A1" i="9"/>
  <c r="E4" i="9"/>
  <c r="D5" i="9"/>
  <c r="E5" i="9" s="1"/>
  <c r="F5" i="9"/>
  <c r="G5" i="9"/>
  <c r="H5" i="9" s="1"/>
  <c r="I5" i="9"/>
  <c r="J5" i="9" s="1"/>
  <c r="K5" i="9" s="1"/>
  <c r="L5" i="9" s="1"/>
  <c r="M5" i="9" s="1"/>
  <c r="N5" i="9" s="1"/>
  <c r="O5" i="9" s="1"/>
  <c r="P5" i="9" s="1"/>
  <c r="Q5" i="9" s="1"/>
  <c r="R5" i="9" s="1"/>
  <c r="S5" i="9" s="1"/>
  <c r="T5" i="9" s="1"/>
  <c r="U5" i="9" s="1"/>
  <c r="V5" i="9" s="1"/>
  <c r="W5" i="9" s="1"/>
  <c r="X5" i="9" s="1"/>
  <c r="D7" i="9"/>
  <c r="E14" i="9" s="1"/>
  <c r="B13" i="9"/>
  <c r="B14" i="9"/>
  <c r="B28" i="9" s="1"/>
  <c r="D15" i="9"/>
  <c r="B20" i="9"/>
  <c r="D20" i="9" s="1"/>
  <c r="E28" i="9" s="1"/>
  <c r="B27" i="9"/>
  <c r="B29" i="9"/>
  <c r="D29" i="9"/>
  <c r="E33" i="9"/>
  <c r="C34" i="9"/>
  <c r="B40" i="9"/>
  <c r="B41" i="9"/>
  <c r="B42" i="9"/>
  <c r="D42" i="9" s="1"/>
  <c r="E47" i="9"/>
  <c r="F47" i="9" s="1"/>
  <c r="B48" i="9"/>
  <c r="L49" i="9" s="1"/>
  <c r="C48" i="9"/>
  <c r="E49" i="9"/>
  <c r="F49" i="9"/>
  <c r="G49" i="9"/>
  <c r="H49" i="9"/>
  <c r="I49" i="9"/>
  <c r="J49" i="9"/>
  <c r="K49" i="9"/>
  <c r="M49" i="9"/>
  <c r="N49" i="9"/>
  <c r="O49" i="9"/>
  <c r="P49" i="9"/>
  <c r="Q49" i="9"/>
  <c r="R49" i="9"/>
  <c r="S49" i="9"/>
  <c r="U49" i="9"/>
  <c r="V49" i="9"/>
  <c r="W49" i="9"/>
  <c r="X49" i="9"/>
  <c r="D51" i="9"/>
  <c r="E51" i="9"/>
  <c r="E57" i="9" s="1"/>
  <c r="D52" i="9"/>
  <c r="B94" i="9"/>
  <c r="A1" i="10"/>
  <c r="D8" i="10"/>
  <c r="D10" i="10"/>
  <c r="B23" i="10"/>
  <c r="D23" i="10"/>
  <c r="D24" i="10" s="1"/>
  <c r="D25" i="10" s="1"/>
  <c r="F23" i="10"/>
  <c r="A24" i="10"/>
  <c r="A25" i="10" s="1"/>
  <c r="B24" i="10"/>
  <c r="F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9" i="10"/>
  <c r="C59" i="10"/>
  <c r="E6" i="10" s="1"/>
  <c r="A1" i="13"/>
  <c r="C5" i="13"/>
  <c r="D5" i="13" s="1"/>
  <c r="E5" i="13" s="1"/>
  <c r="F5" i="13" s="1"/>
  <c r="G5" i="13" s="1"/>
  <c r="H5" i="13" s="1"/>
  <c r="I5" i="13" s="1"/>
  <c r="J5" i="13" s="1"/>
  <c r="K5" i="13" s="1"/>
  <c r="L5" i="13" s="1"/>
  <c r="M5" i="13" s="1"/>
  <c r="N5" i="13" s="1"/>
  <c r="O5" i="13" s="1"/>
  <c r="P5" i="13" s="1"/>
  <c r="Q5" i="13" s="1"/>
  <c r="R5" i="13" s="1"/>
  <c r="S5" i="13" s="1"/>
  <c r="T5" i="13" s="1"/>
  <c r="U5" i="13" s="1"/>
  <c r="V5" i="13" s="1"/>
  <c r="W5" i="13" s="1"/>
  <c r="C7" i="13"/>
  <c r="D7" i="13"/>
  <c r="E7" i="13"/>
  <c r="F7" i="13"/>
  <c r="G7" i="13"/>
  <c r="H7" i="13"/>
  <c r="I7" i="13"/>
  <c r="J7" i="13"/>
  <c r="K7" i="13"/>
  <c r="L7" i="13"/>
  <c r="M7" i="13"/>
  <c r="N7" i="13"/>
  <c r="O7" i="13"/>
  <c r="P7" i="13"/>
  <c r="Q7" i="13"/>
  <c r="R7" i="13"/>
  <c r="S7" i="13"/>
  <c r="T7" i="13"/>
  <c r="U7" i="13"/>
  <c r="V7" i="13"/>
  <c r="C8" i="13"/>
  <c r="D8" i="13"/>
  <c r="C12" i="13"/>
  <c r="D12" i="13"/>
  <c r="E12" i="13"/>
  <c r="F12" i="13"/>
  <c r="G12" i="13"/>
  <c r="H12" i="13"/>
  <c r="I12" i="13"/>
  <c r="J12" i="13"/>
  <c r="K12" i="13"/>
  <c r="L12" i="13"/>
  <c r="M12" i="13"/>
  <c r="N12" i="13"/>
  <c r="O12" i="13"/>
  <c r="P12" i="13"/>
  <c r="Q12" i="13"/>
  <c r="R12" i="13"/>
  <c r="S12" i="13"/>
  <c r="T12" i="13"/>
  <c r="U12" i="13"/>
  <c r="V12" i="13"/>
  <c r="F21" i="13"/>
  <c r="F22" i="13"/>
  <c r="F23" i="13"/>
  <c r="F24" i="13"/>
  <c r="F25" i="13"/>
  <c r="F26" i="13"/>
  <c r="F27" i="13"/>
  <c r="F28" i="13"/>
  <c r="F29" i="13"/>
  <c r="F30" i="13"/>
  <c r="F31" i="13"/>
  <c r="F32" i="13"/>
  <c r="F33" i="13"/>
  <c r="F34" i="13"/>
  <c r="F35" i="13"/>
  <c r="F36" i="13"/>
  <c r="F37" i="13"/>
  <c r="F38" i="13"/>
  <c r="F39" i="13"/>
  <c r="F40" i="13"/>
  <c r="F41" i="13"/>
  <c r="F42" i="13"/>
  <c r="F43" i="13"/>
  <c r="F44" i="13"/>
  <c r="A1" i="3"/>
  <c r="C3" i="3"/>
  <c r="C21" i="3" s="1"/>
  <c r="D3" i="3"/>
  <c r="C4" i="3"/>
  <c r="D4" i="3"/>
  <c r="C8" i="3"/>
  <c r="D11" i="3"/>
  <c r="C15" i="3"/>
  <c r="D15" i="3"/>
  <c r="E15" i="3"/>
  <c r="F15" i="3"/>
  <c r="G15" i="3"/>
  <c r="H15" i="3"/>
  <c r="I15" i="3"/>
  <c r="J15" i="3"/>
  <c r="K15" i="3"/>
  <c r="L15" i="3"/>
  <c r="M15" i="3"/>
  <c r="N15" i="3"/>
  <c r="O15" i="3"/>
  <c r="P15" i="3"/>
  <c r="Q15" i="3"/>
  <c r="R15" i="3"/>
  <c r="S15" i="3"/>
  <c r="T15" i="3"/>
  <c r="U15" i="3"/>
  <c r="V15" i="3"/>
  <c r="W15" i="3"/>
  <c r="C17" i="3"/>
  <c r="D17" i="3"/>
  <c r="C33" i="3"/>
  <c r="D33" i="3"/>
  <c r="C38" i="3"/>
  <c r="C42" i="3"/>
  <c r="C43" i="3"/>
  <c r="C44" i="3" s="1"/>
  <c r="D43" i="3"/>
  <c r="C47" i="3"/>
  <c r="A1" i="2"/>
  <c r="D4" i="2"/>
  <c r="C5" i="2"/>
  <c r="D15" i="2"/>
  <c r="D16" i="2"/>
  <c r="E15" i="6" s="1"/>
  <c r="D17" i="2"/>
  <c r="X29" i="2"/>
  <c r="X30" i="2"/>
  <c r="X31" i="2"/>
  <c r="C32" i="2"/>
  <c r="X32" i="2"/>
  <c r="D33" i="2"/>
  <c r="X33" i="2"/>
  <c r="X34" i="2"/>
  <c r="X38" i="2"/>
  <c r="X39" i="2"/>
  <c r="X45" i="2"/>
  <c r="X51" i="2"/>
  <c r="B73" i="2"/>
  <c r="G73" i="2"/>
  <c r="H73" i="2"/>
  <c r="I73" i="2"/>
  <c r="J73" i="2"/>
  <c r="O73" i="2"/>
  <c r="P73" i="2"/>
  <c r="Q73" i="2"/>
  <c r="R73" i="2"/>
  <c r="T73" i="2"/>
  <c r="D74" i="2"/>
  <c r="C74" i="2" s="1"/>
  <c r="E74" i="2"/>
  <c r="F74" i="2"/>
  <c r="G74" i="2"/>
  <c r="H74" i="2"/>
  <c r="K74" i="2"/>
  <c r="L74" i="2"/>
  <c r="M74" i="2"/>
  <c r="N74" i="2"/>
  <c r="O74" i="2"/>
  <c r="P74" i="2"/>
  <c r="S74" i="2"/>
  <c r="T74" i="2"/>
  <c r="U74" i="2"/>
  <c r="V74" i="2"/>
  <c r="D81" i="2"/>
  <c r="E81" i="2"/>
  <c r="F81" i="2"/>
  <c r="G81" i="2"/>
  <c r="H81" i="2"/>
  <c r="I81" i="2"/>
  <c r="J81" i="2"/>
  <c r="K81" i="2"/>
  <c r="L81" i="2"/>
  <c r="M81" i="2"/>
  <c r="N81" i="2"/>
  <c r="O81" i="2"/>
  <c r="P81" i="2"/>
  <c r="Q81" i="2"/>
  <c r="R81" i="2"/>
  <c r="S81" i="2"/>
  <c r="T81" i="2"/>
  <c r="U81" i="2"/>
  <c r="V81" i="2"/>
  <c r="A4" i="1"/>
  <c r="U7" i="1"/>
  <c r="L8" i="1"/>
  <c r="L11" i="1" s="1"/>
  <c r="M8" i="1"/>
  <c r="C9" i="1"/>
  <c r="M9" i="1"/>
  <c r="M10" i="1"/>
  <c r="N10" i="1" s="1"/>
  <c r="U10" i="1"/>
  <c r="I11" i="1"/>
  <c r="D8" i="3" s="1"/>
  <c r="I12" i="1"/>
  <c r="U13" i="1"/>
  <c r="E52" i="9" s="1"/>
  <c r="I14" i="1"/>
  <c r="M15" i="1"/>
  <c r="N15" i="1"/>
  <c r="O15" i="1" s="1"/>
  <c r="H18" i="1"/>
  <c r="N20" i="1"/>
  <c r="L52" i="1" s="1"/>
  <c r="N21" i="1"/>
  <c r="N22" i="1"/>
  <c r="C23" i="1"/>
  <c r="N23" i="1"/>
  <c r="N24" i="1"/>
  <c r="I28" i="1"/>
  <c r="I29" i="1"/>
  <c r="N32" i="1"/>
  <c r="N33" i="1"/>
  <c r="D46" i="6" s="1"/>
  <c r="C34" i="1"/>
  <c r="B12" i="9" s="1"/>
  <c r="N34" i="1"/>
  <c r="F38" i="1"/>
  <c r="G38" i="1"/>
  <c r="H38" i="1"/>
  <c r="I39" i="1"/>
  <c r="N39" i="1"/>
  <c r="L53" i="1" s="1"/>
  <c r="G40" i="1"/>
  <c r="I40" i="1" s="1"/>
  <c r="H40" i="1"/>
  <c r="C41" i="1"/>
  <c r="S29" i="1" s="1"/>
  <c r="F41" i="1"/>
  <c r="G41" i="1"/>
  <c r="B81" i="4" s="1"/>
  <c r="H41" i="1"/>
  <c r="B96" i="4" s="1"/>
  <c r="I41" i="1"/>
  <c r="C42" i="1"/>
  <c r="I42" i="1"/>
  <c r="C45" i="1"/>
  <c r="C46" i="1"/>
  <c r="L46" i="1"/>
  <c r="L48" i="1"/>
  <c r="N48" i="1" s="1"/>
  <c r="N52" i="1"/>
  <c r="H54" i="1"/>
  <c r="N60" i="1"/>
  <c r="N65" i="1"/>
  <c r="A1" i="5"/>
  <c r="C3" i="5"/>
  <c r="D3" i="5"/>
  <c r="X3" i="5"/>
  <c r="Y3" i="5"/>
  <c r="Z3" i="5"/>
  <c r="AA3" i="5"/>
  <c r="C4" i="5"/>
  <c r="D4" i="5"/>
  <c r="X4" i="5"/>
  <c r="Y4" i="5"/>
  <c r="Z4" i="5"/>
  <c r="AA4" i="5"/>
  <c r="B6" i="5"/>
  <c r="C6" i="5" s="1"/>
  <c r="D6" i="5" s="1"/>
  <c r="E6" i="5" s="1"/>
  <c r="F6" i="5" s="1"/>
  <c r="G6" i="5" s="1"/>
  <c r="H6" i="5" s="1"/>
  <c r="I6" i="5" s="1"/>
  <c r="J6" i="5" s="1"/>
  <c r="K6" i="5" s="1"/>
  <c r="L6" i="5" s="1"/>
  <c r="M6" i="5" s="1"/>
  <c r="N6" i="5" s="1"/>
  <c r="O6" i="5" s="1"/>
  <c r="P6" i="5" s="1"/>
  <c r="Q6" i="5" s="1"/>
  <c r="R6" i="5" s="1"/>
  <c r="S6" i="5" s="1"/>
  <c r="T6" i="5" s="1"/>
  <c r="U6" i="5" s="1"/>
  <c r="V6" i="5" s="1"/>
  <c r="W6" i="5" s="1"/>
  <c r="X6" i="5" s="1"/>
  <c r="Y6" i="5" s="1"/>
  <c r="Z6" i="5" s="1"/>
  <c r="AA6" i="5" s="1"/>
  <c r="X23" i="5"/>
  <c r="X24" i="5" s="1"/>
  <c r="Y23" i="5"/>
  <c r="Z23" i="5"/>
  <c r="Z24" i="5" s="1"/>
  <c r="AA23" i="5"/>
  <c r="Y24" i="5"/>
  <c r="AA24" i="5"/>
  <c r="B26" i="5"/>
  <c r="C26" i="5" s="1"/>
  <c r="D26" i="5" s="1"/>
  <c r="E26" i="5"/>
  <c r="F26" i="5"/>
  <c r="G26" i="5"/>
  <c r="H26" i="5" s="1"/>
  <c r="A27" i="5"/>
  <c r="B29" i="5"/>
  <c r="B39" i="5"/>
  <c r="C40" i="5"/>
  <c r="D40" i="5"/>
  <c r="E40" i="5"/>
  <c r="F40" i="5"/>
  <c r="G40" i="5"/>
  <c r="H40" i="5"/>
  <c r="I40" i="5"/>
  <c r="J40" i="5"/>
  <c r="K40" i="5"/>
  <c r="L40" i="5"/>
  <c r="M40" i="5"/>
  <c r="N40" i="5"/>
  <c r="O40" i="5"/>
  <c r="P40" i="5"/>
  <c r="Q40" i="5"/>
  <c r="R40" i="5"/>
  <c r="S40" i="5"/>
  <c r="T40" i="5"/>
  <c r="U40" i="5"/>
  <c r="V40" i="5"/>
  <c r="W40" i="5"/>
  <c r="X40" i="5"/>
  <c r="Y40" i="5"/>
  <c r="Z40" i="5"/>
  <c r="AA40" i="5"/>
  <c r="X41" i="5"/>
  <c r="Y41" i="5"/>
  <c r="Z41" i="5"/>
  <c r="AA41" i="5"/>
  <c r="G42" i="5"/>
  <c r="H42" i="5"/>
  <c r="I42" i="5"/>
  <c r="J42" i="5"/>
  <c r="O42" i="5"/>
  <c r="P42" i="5"/>
  <c r="Q42" i="5"/>
  <c r="R42" i="5"/>
  <c r="W42" i="5"/>
  <c r="X42" i="5"/>
  <c r="Y42" i="5"/>
  <c r="Z42" i="5"/>
  <c r="A1" i="8"/>
  <c r="E3" i="8"/>
  <c r="F3" i="8" s="1"/>
  <c r="G3" i="8" s="1"/>
  <c r="D4" i="8"/>
  <c r="E4" i="8" s="1"/>
  <c r="F4" i="8"/>
  <c r="G4" i="8"/>
  <c r="H4" i="8"/>
  <c r="I4" i="8" s="1"/>
  <c r="J4" i="8" s="1"/>
  <c r="K4" i="8" s="1"/>
  <c r="L4" i="8" s="1"/>
  <c r="M4" i="8" s="1"/>
  <c r="N4" i="8" s="1"/>
  <c r="O4" i="8" s="1"/>
  <c r="P4" i="8" s="1"/>
  <c r="Q4" i="8" s="1"/>
  <c r="R4" i="8" s="1"/>
  <c r="S4" i="8" s="1"/>
  <c r="T4" i="8" s="1"/>
  <c r="U4" i="8" s="1"/>
  <c r="V4" i="8" s="1"/>
  <c r="W4" i="8" s="1"/>
  <c r="X4" i="8" s="1"/>
  <c r="Y4" i="8" s="1"/>
  <c r="Z4" i="8" s="1"/>
  <c r="AA4" i="8" s="1"/>
  <c r="AB4" i="8" s="1"/>
  <c r="D8" i="8"/>
  <c r="E8" i="8"/>
  <c r="E56" i="6" s="1"/>
  <c r="F8" i="8"/>
  <c r="G8" i="8"/>
  <c r="H8" i="8"/>
  <c r="I8" i="8"/>
  <c r="J8" i="8"/>
  <c r="K8" i="8"/>
  <c r="L8" i="8"/>
  <c r="M8" i="8"/>
  <c r="N8" i="8"/>
  <c r="O8" i="8"/>
  <c r="P8" i="8"/>
  <c r="Q8" i="8"/>
  <c r="R8" i="8"/>
  <c r="S8" i="8"/>
  <c r="T8" i="8"/>
  <c r="U8" i="8"/>
  <c r="V8" i="8"/>
  <c r="W8" i="8"/>
  <c r="X8" i="8"/>
  <c r="Y8" i="8"/>
  <c r="Z8" i="8"/>
  <c r="AA8" i="8"/>
  <c r="AB8" i="8"/>
  <c r="D9" i="8"/>
  <c r="E9" i="8"/>
  <c r="D10" i="8"/>
  <c r="E10" i="8"/>
  <c r="Y13" i="8"/>
  <c r="Z13" i="8"/>
  <c r="AA13" i="8"/>
  <c r="AB13" i="8"/>
  <c r="D14" i="8"/>
  <c r="E14" i="8"/>
  <c r="Y18" i="8"/>
  <c r="Y41" i="8" s="1"/>
  <c r="Y43" i="8" s="1"/>
  <c r="Z18" i="8"/>
  <c r="AA18" i="8"/>
  <c r="AB18" i="8"/>
  <c r="AB20" i="8" s="1"/>
  <c r="D19" i="8"/>
  <c r="E19" i="8"/>
  <c r="F19" i="8"/>
  <c r="G19" i="8"/>
  <c r="H19" i="8"/>
  <c r="I19" i="8"/>
  <c r="J19" i="8"/>
  <c r="K19" i="8"/>
  <c r="L19" i="8"/>
  <c r="M19" i="8"/>
  <c r="N19" i="8"/>
  <c r="O19" i="8"/>
  <c r="P19" i="8"/>
  <c r="Q19" i="8"/>
  <c r="R19" i="8"/>
  <c r="S19" i="8"/>
  <c r="T19" i="8"/>
  <c r="U19" i="8"/>
  <c r="V19" i="8"/>
  <c r="W19" i="8"/>
  <c r="X19" i="8"/>
  <c r="Y19" i="8"/>
  <c r="Y20" i="8" s="1"/>
  <c r="Z19" i="8"/>
  <c r="AA19" i="8"/>
  <c r="AB19" i="8"/>
  <c r="Y21" i="8"/>
  <c r="Z21" i="8"/>
  <c r="AA21" i="8"/>
  <c r="AB21" i="8"/>
  <c r="D26" i="8"/>
  <c r="E26" i="8"/>
  <c r="D29" i="8"/>
  <c r="D36" i="8"/>
  <c r="E36" i="8"/>
  <c r="F36" i="8"/>
  <c r="G36" i="8"/>
  <c r="H36" i="8"/>
  <c r="I36" i="8"/>
  <c r="J36" i="8"/>
  <c r="K36" i="8"/>
  <c r="L36" i="8"/>
  <c r="M36" i="8"/>
  <c r="N36" i="8"/>
  <c r="O36" i="8"/>
  <c r="P36" i="8"/>
  <c r="Q36" i="8"/>
  <c r="R36" i="8"/>
  <c r="S36" i="8"/>
  <c r="T36" i="8"/>
  <c r="U36" i="8"/>
  <c r="V36" i="8"/>
  <c r="W36" i="8"/>
  <c r="X36" i="8"/>
  <c r="Y36" i="8"/>
  <c r="Z36" i="8"/>
  <c r="AA36" i="8"/>
  <c r="AB36" i="8"/>
  <c r="Y42" i="8"/>
  <c r="Z42" i="8"/>
  <c r="AA42" i="8"/>
  <c r="AB42" i="8"/>
  <c r="D48" i="8"/>
  <c r="E48" i="8"/>
  <c r="A1" i="15"/>
  <c r="D7" i="15"/>
  <c r="Y8" i="15"/>
  <c r="Y9" i="15"/>
  <c r="Y10" i="15"/>
  <c r="B15" i="15"/>
  <c r="B18" i="15"/>
  <c r="B19" i="15"/>
  <c r="B20" i="15"/>
  <c r="D21" i="15"/>
  <c r="E21" i="15"/>
  <c r="F21" i="15"/>
  <c r="G21" i="15"/>
  <c r="H21" i="15"/>
  <c r="I21" i="15"/>
  <c r="J21" i="15"/>
  <c r="K21" i="15"/>
  <c r="B21" i="15" s="1"/>
  <c r="L21" i="15"/>
  <c r="M21" i="15"/>
  <c r="N21" i="15"/>
  <c r="O21" i="15"/>
  <c r="P21" i="15"/>
  <c r="Q21" i="15"/>
  <c r="R21" i="15"/>
  <c r="S21" i="15"/>
  <c r="T21" i="15"/>
  <c r="U21" i="15"/>
  <c r="V21" i="15"/>
  <c r="W21" i="15"/>
  <c r="X21" i="15"/>
  <c r="Y21" i="15"/>
  <c r="B28" i="15"/>
  <c r="C38" i="15" s="1"/>
  <c r="C28" i="15"/>
  <c r="B29" i="15"/>
  <c r="C29" i="15" s="1"/>
  <c r="B30" i="15"/>
  <c r="C30" i="15" s="1"/>
  <c r="B31" i="15"/>
  <c r="B38" i="15"/>
  <c r="B39" i="15"/>
  <c r="C39" i="15" s="1"/>
  <c r="B40" i="15"/>
  <c r="C40" i="15" s="1"/>
  <c r="B41" i="15"/>
  <c r="C51" i="15" s="1"/>
  <c r="C41" i="15"/>
  <c r="B48" i="15"/>
  <c r="C48" i="15"/>
  <c r="B49" i="15"/>
  <c r="C49" i="15" s="1"/>
  <c r="B50" i="15"/>
  <c r="C50" i="15" s="1"/>
  <c r="B51" i="15"/>
  <c r="C61" i="15" s="1"/>
  <c r="B58" i="15"/>
  <c r="C68" i="15" s="1"/>
  <c r="C58" i="15"/>
  <c r="B59" i="15"/>
  <c r="C59" i="15" s="1"/>
  <c r="B60" i="15"/>
  <c r="C60" i="15" s="1"/>
  <c r="B61" i="15"/>
  <c r="B68" i="15"/>
  <c r="C78" i="15" s="1"/>
  <c r="B69" i="15"/>
  <c r="C69" i="15" s="1"/>
  <c r="B70" i="15"/>
  <c r="C70" i="15" s="1"/>
  <c r="B71" i="15"/>
  <c r="C71" i="15"/>
  <c r="B78" i="15"/>
  <c r="B79" i="15"/>
  <c r="C79" i="15" s="1"/>
  <c r="B80" i="15"/>
  <c r="C80" i="15" s="1"/>
  <c r="B81" i="15"/>
  <c r="C91" i="15" s="1"/>
  <c r="B88" i="15"/>
  <c r="C88" i="15"/>
  <c r="B89" i="15"/>
  <c r="C89" i="15" s="1"/>
  <c r="B90" i="15"/>
  <c r="C90" i="15" s="1"/>
  <c r="B91" i="15"/>
  <c r="C101" i="15" s="1"/>
  <c r="B98" i="15"/>
  <c r="C108" i="15" s="1"/>
  <c r="B99" i="15"/>
  <c r="C99" i="15" s="1"/>
  <c r="B100" i="15"/>
  <c r="C100" i="15" s="1"/>
  <c r="B101" i="15"/>
  <c r="B108" i="15"/>
  <c r="C118" i="15" s="1"/>
  <c r="B109" i="15"/>
  <c r="C109" i="15" s="1"/>
  <c r="B110" i="15"/>
  <c r="C110" i="15" s="1"/>
  <c r="B111" i="15"/>
  <c r="C111" i="15"/>
  <c r="B118" i="15"/>
  <c r="B119" i="15"/>
  <c r="C119" i="15" s="1"/>
  <c r="B120" i="15"/>
  <c r="C120" i="15" s="1"/>
  <c r="B121" i="15"/>
  <c r="C131" i="15" s="1"/>
  <c r="C121" i="15"/>
  <c r="B128" i="15"/>
  <c r="C128" i="15"/>
  <c r="B129" i="15"/>
  <c r="C129" i="15" s="1"/>
  <c r="B130" i="15"/>
  <c r="C130" i="15" s="1"/>
  <c r="B131" i="15"/>
  <c r="C141" i="15" s="1"/>
  <c r="B138" i="15"/>
  <c r="C148" i="15" s="1"/>
  <c r="C138" i="15"/>
  <c r="B139" i="15"/>
  <c r="C139" i="15" s="1"/>
  <c r="B140" i="15"/>
  <c r="C140" i="15" s="1"/>
  <c r="B141" i="15"/>
  <c r="B148" i="15"/>
  <c r="C158" i="15" s="1"/>
  <c r="B149" i="15"/>
  <c r="C149" i="15" s="1"/>
  <c r="B150" i="15"/>
  <c r="C150" i="15" s="1"/>
  <c r="B151" i="15"/>
  <c r="C151" i="15"/>
  <c r="B158" i="15"/>
  <c r="B159" i="15"/>
  <c r="C159" i="15" s="1"/>
  <c r="B160" i="15"/>
  <c r="C160" i="15" s="1"/>
  <c r="B161" i="15"/>
  <c r="C171" i="15" s="1"/>
  <c r="B168" i="15"/>
  <c r="C168" i="15"/>
  <c r="B169" i="15"/>
  <c r="C169" i="15" s="1"/>
  <c r="B170" i="15"/>
  <c r="C170" i="15" s="1"/>
  <c r="B171" i="15"/>
  <c r="C181" i="15" s="1"/>
  <c r="B178" i="15"/>
  <c r="C188" i="15" s="1"/>
  <c r="B179" i="15"/>
  <c r="C179" i="15" s="1"/>
  <c r="B180" i="15"/>
  <c r="C180" i="15" s="1"/>
  <c r="B181" i="15"/>
  <c r="B188" i="15"/>
  <c r="C198" i="15" s="1"/>
  <c r="B189" i="15"/>
  <c r="C189" i="15" s="1"/>
  <c r="B190" i="15"/>
  <c r="C190" i="15" s="1"/>
  <c r="B191" i="15"/>
  <c r="C191" i="15"/>
  <c r="B198" i="15"/>
  <c r="B199" i="15"/>
  <c r="C199" i="15" s="1"/>
  <c r="B200" i="15"/>
  <c r="C200" i="15" s="1"/>
  <c r="B201" i="15"/>
  <c r="C211" i="15" s="1"/>
  <c r="C201" i="15"/>
  <c r="B208" i="15"/>
  <c r="C208" i="15"/>
  <c r="B209" i="15"/>
  <c r="C209" i="15" s="1"/>
  <c r="B210" i="15"/>
  <c r="C210" i="15" s="1"/>
  <c r="B211" i="15"/>
  <c r="C221" i="15" s="1"/>
  <c r="B218" i="15"/>
  <c r="C228" i="15" s="1"/>
  <c r="C218" i="15"/>
  <c r="B219" i="15"/>
  <c r="C219" i="15" s="1"/>
  <c r="B220" i="15"/>
  <c r="C220" i="15" s="1"/>
  <c r="B221" i="15"/>
  <c r="B228" i="15"/>
  <c r="C238" i="15" s="1"/>
  <c r="B229" i="15"/>
  <c r="C229" i="15" s="1"/>
  <c r="B230" i="15"/>
  <c r="C230" i="15" s="1"/>
  <c r="B231" i="15"/>
  <c r="C231" i="15"/>
  <c r="B238" i="15"/>
  <c r="B239" i="15"/>
  <c r="B240" i="15"/>
  <c r="C240" i="15" s="1"/>
  <c r="B241" i="15"/>
  <c r="C251" i="15" s="1"/>
  <c r="B248" i="15"/>
  <c r="C248" i="15"/>
  <c r="B249" i="15"/>
  <c r="B250" i="15"/>
  <c r="C250" i="15" s="1"/>
  <c r="B251" i="15"/>
  <c r="C261" i="15" s="1"/>
  <c r="B258" i="15"/>
  <c r="C268" i="15" s="1"/>
  <c r="B259" i="15"/>
  <c r="C259" i="15" s="1"/>
  <c r="B260" i="15"/>
  <c r="C260" i="15" s="1"/>
  <c r="B261" i="15"/>
  <c r="B268" i="15"/>
  <c r="C278" i="15" s="1"/>
  <c r="B269" i="15"/>
  <c r="C269" i="15" s="1"/>
  <c r="B270" i="15"/>
  <c r="C270" i="15" s="1"/>
  <c r="B271" i="15"/>
  <c r="C271" i="15"/>
  <c r="B278" i="15"/>
  <c r="B279" i="15"/>
  <c r="B280" i="15"/>
  <c r="C280" i="15" s="1"/>
  <c r="B281" i="15"/>
  <c r="C291" i="15" s="1"/>
  <c r="C281" i="15"/>
  <c r="B288" i="15"/>
  <c r="C288" i="15"/>
  <c r="B289" i="15"/>
  <c r="B290" i="15"/>
  <c r="C290" i="15" s="1"/>
  <c r="B291" i="15"/>
  <c r="C301" i="15" s="1"/>
  <c r="B298" i="15"/>
  <c r="C308" i="15" s="1"/>
  <c r="C298" i="15"/>
  <c r="B299" i="15"/>
  <c r="C299" i="15" s="1"/>
  <c r="B300" i="15"/>
  <c r="C300" i="15" s="1"/>
  <c r="B301" i="15"/>
  <c r="B308" i="15"/>
  <c r="C318" i="15" s="1"/>
  <c r="B309" i="15"/>
  <c r="C309" i="15" s="1"/>
  <c r="B310" i="15"/>
  <c r="C310" i="15" s="1"/>
  <c r="B311" i="15"/>
  <c r="C311" i="15"/>
  <c r="B318" i="15"/>
  <c r="B319" i="15"/>
  <c r="B320" i="15"/>
  <c r="C320" i="15" s="1"/>
  <c r="B321" i="15"/>
  <c r="C331" i="15" s="1"/>
  <c r="B328" i="15"/>
  <c r="C328" i="15"/>
  <c r="B329" i="15"/>
  <c r="B330" i="15"/>
  <c r="C330" i="15" s="1"/>
  <c r="B331" i="15"/>
  <c r="C341" i="15" s="1"/>
  <c r="B338" i="15"/>
  <c r="C348" i="15" s="1"/>
  <c r="B339" i="15"/>
  <c r="C339" i="15" s="1"/>
  <c r="B340" i="15"/>
  <c r="C340" i="15" s="1"/>
  <c r="B341" i="15"/>
  <c r="B348" i="15"/>
  <c r="C358" i="15" s="1"/>
  <c r="B349" i="15"/>
  <c r="C349" i="15" s="1"/>
  <c r="B350" i="15"/>
  <c r="C350" i="15" s="1"/>
  <c r="B351" i="15"/>
  <c r="C351" i="15"/>
  <c r="B358" i="15"/>
  <c r="B359" i="15"/>
  <c r="B360" i="15"/>
  <c r="C360" i="15" s="1"/>
  <c r="B361" i="15"/>
  <c r="C371" i="15" s="1"/>
  <c r="C361" i="15"/>
  <c r="B368" i="15"/>
  <c r="C368" i="15"/>
  <c r="B369" i="15"/>
  <c r="B370" i="15"/>
  <c r="C370" i="15" s="1"/>
  <c r="B371" i="15"/>
  <c r="C381" i="15" s="1"/>
  <c r="B378" i="15"/>
  <c r="C388" i="15" s="1"/>
  <c r="C378" i="15"/>
  <c r="B379" i="15"/>
  <c r="C379" i="15" s="1"/>
  <c r="B380" i="15"/>
  <c r="C380" i="15" s="1"/>
  <c r="B381" i="15"/>
  <c r="B388" i="15"/>
  <c r="C398" i="15" s="1"/>
  <c r="B389" i="15"/>
  <c r="C389" i="15" s="1"/>
  <c r="B390" i="15"/>
  <c r="C390" i="15" s="1"/>
  <c r="B391" i="15"/>
  <c r="C391" i="15"/>
  <c r="B398" i="15"/>
  <c r="B399" i="15"/>
  <c r="B400" i="15"/>
  <c r="C400" i="15" s="1"/>
  <c r="B401" i="15"/>
  <c r="C411" i="15" s="1"/>
  <c r="B408" i="15"/>
  <c r="C408" i="15"/>
  <c r="B409" i="15"/>
  <c r="B410" i="15"/>
  <c r="B411" i="15"/>
  <c r="C421" i="15" s="1"/>
  <c r="B418" i="15"/>
  <c r="C428" i="15" s="1"/>
  <c r="B419" i="15"/>
  <c r="C419" i="15" s="1"/>
  <c r="B420" i="15"/>
  <c r="C420" i="15" s="1"/>
  <c r="B421" i="15"/>
  <c r="B428" i="15"/>
  <c r="C438" i="15" s="1"/>
  <c r="B429" i="15"/>
  <c r="C429" i="15" s="1"/>
  <c r="B430" i="15"/>
  <c r="C430" i="15" s="1"/>
  <c r="B431" i="15"/>
  <c r="C431" i="15"/>
  <c r="B438" i="15"/>
  <c r="B439" i="15"/>
  <c r="B440" i="15"/>
  <c r="B441" i="15"/>
  <c r="C451" i="15" s="1"/>
  <c r="C441" i="15"/>
  <c r="B448" i="15"/>
  <c r="C448" i="15"/>
  <c r="B449" i="15"/>
  <c r="B450" i="15"/>
  <c r="B451" i="15"/>
  <c r="C461" i="15" s="1"/>
  <c r="B458" i="15"/>
  <c r="C468" i="15" s="1"/>
  <c r="C458" i="15"/>
  <c r="B459" i="15"/>
  <c r="C459" i="15" s="1"/>
  <c r="B460" i="15"/>
  <c r="C460" i="15" s="1"/>
  <c r="B461" i="15"/>
  <c r="B468" i="15"/>
  <c r="C478" i="15" s="1"/>
  <c r="B469" i="15"/>
  <c r="C469" i="15" s="1"/>
  <c r="B470" i="15"/>
  <c r="C470" i="15" s="1"/>
  <c r="B471" i="15"/>
  <c r="C471" i="15"/>
  <c r="B478" i="15"/>
  <c r="B479" i="15"/>
  <c r="B480" i="15"/>
  <c r="B481" i="15"/>
  <c r="C481" i="15" s="1"/>
  <c r="B488" i="15"/>
  <c r="C488" i="15"/>
  <c r="B489" i="15"/>
  <c r="B490" i="15"/>
  <c r="B491" i="15"/>
  <c r="C501" i="15" s="1"/>
  <c r="C491" i="15"/>
  <c r="B498" i="15"/>
  <c r="C498" i="15" s="1"/>
  <c r="B499" i="15"/>
  <c r="C499" i="15" s="1"/>
  <c r="B500" i="15"/>
  <c r="B501" i="15"/>
  <c r="B508" i="15"/>
  <c r="C508" i="15"/>
  <c r="B509" i="15"/>
  <c r="C509" i="15"/>
  <c r="B510" i="15"/>
  <c r="B511" i="15"/>
  <c r="C521" i="15" s="1"/>
  <c r="C511" i="15"/>
  <c r="B518" i="15"/>
  <c r="C528" i="15" s="1"/>
  <c r="C518" i="15"/>
  <c r="B519" i="15"/>
  <c r="C519" i="15" s="1"/>
  <c r="B520" i="15"/>
  <c r="C520" i="15" s="1"/>
  <c r="B521" i="15"/>
  <c r="B528" i="15"/>
  <c r="C538" i="15" s="1"/>
  <c r="B529" i="15"/>
  <c r="B530" i="15"/>
  <c r="B531" i="15"/>
  <c r="C531" i="15" s="1"/>
  <c r="B538" i="15"/>
  <c r="B539" i="15"/>
  <c r="C549" i="15" s="1"/>
  <c r="C539" i="15"/>
  <c r="B540" i="15"/>
  <c r="C540" i="15" s="1"/>
  <c r="B541" i="15"/>
  <c r="C541" i="15"/>
  <c r="B548" i="15"/>
  <c r="C548" i="15"/>
  <c r="B549" i="15"/>
  <c r="B550" i="15"/>
  <c r="C550" i="15" s="1"/>
  <c r="B551" i="15"/>
  <c r="C551" i="15" s="1"/>
  <c r="B558" i="15"/>
  <c r="C558" i="15" s="1"/>
  <c r="B559" i="15"/>
  <c r="C559" i="15"/>
  <c r="B560" i="15"/>
  <c r="B561" i="15"/>
  <c r="C571" i="15" s="1"/>
  <c r="C561" i="15"/>
  <c r="B568" i="15"/>
  <c r="C568" i="15"/>
  <c r="B569" i="15"/>
  <c r="C569" i="15"/>
  <c r="B570" i="15"/>
  <c r="B571" i="15"/>
  <c r="B578" i="15"/>
  <c r="C578" i="15" s="1"/>
  <c r="B579" i="15"/>
  <c r="C579" i="15" s="1"/>
  <c r="B580" i="15"/>
  <c r="B581" i="15"/>
  <c r="C591" i="15" s="1"/>
  <c r="C581" i="15"/>
  <c r="B588" i="15"/>
  <c r="C598" i="15" s="1"/>
  <c r="B589" i="15"/>
  <c r="C589" i="15"/>
  <c r="B590" i="15"/>
  <c r="B591" i="15"/>
  <c r="B598" i="15"/>
  <c r="C609" i="15" s="1"/>
  <c r="B599" i="15"/>
  <c r="C599" i="15" s="1"/>
  <c r="B600" i="15"/>
  <c r="C600" i="15" s="1"/>
  <c r="B601" i="15"/>
  <c r="C601" i="15"/>
  <c r="B609" i="15"/>
  <c r="B610" i="15"/>
  <c r="C610" i="15" s="1"/>
  <c r="B611" i="15"/>
  <c r="B612" i="15"/>
  <c r="C612" i="15" s="1"/>
  <c r="B620" i="15"/>
  <c r="C620" i="15"/>
  <c r="B621" i="15"/>
  <c r="C632" i="15" s="1"/>
  <c r="C621" i="15"/>
  <c r="B622" i="15"/>
  <c r="C622" i="15" s="1"/>
  <c r="B623" i="15"/>
  <c r="C623" i="15"/>
  <c r="B631" i="15"/>
  <c r="C631" i="15"/>
  <c r="B632" i="15"/>
  <c r="B633" i="15"/>
  <c r="C633" i="15" s="1"/>
  <c r="B634" i="15"/>
  <c r="C634" i="15" s="1"/>
  <c r="B642" i="15"/>
  <c r="C642" i="15" s="1"/>
  <c r="B643" i="15"/>
  <c r="C643" i="15"/>
  <c r="B644" i="15"/>
  <c r="B645" i="15"/>
  <c r="C656" i="15" s="1"/>
  <c r="B653" i="15"/>
  <c r="C653" i="15"/>
  <c r="B654" i="15"/>
  <c r="C654" i="15"/>
  <c r="B655" i="15"/>
  <c r="B656" i="15"/>
  <c r="C667" i="15" s="1"/>
  <c r="B664" i="15"/>
  <c r="C664" i="15" s="1"/>
  <c r="B665" i="15"/>
  <c r="C665" i="15" s="1"/>
  <c r="B666" i="15"/>
  <c r="B667" i="15"/>
  <c r="C678" i="15" s="1"/>
  <c r="B675" i="15"/>
  <c r="C675" i="15" s="1"/>
  <c r="B676" i="15"/>
  <c r="C676" i="15"/>
  <c r="B677" i="15"/>
  <c r="B678" i="15"/>
  <c r="B686" i="15"/>
  <c r="C686" i="15"/>
  <c r="B687" i="15"/>
  <c r="C687" i="15" s="1"/>
  <c r="B688" i="15"/>
  <c r="C688" i="15" s="1"/>
  <c r="B689" i="15"/>
  <c r="C689" i="15"/>
  <c r="B697" i="15"/>
  <c r="C708" i="15" s="1"/>
  <c r="C697" i="15"/>
  <c r="B698" i="15"/>
  <c r="C698" i="15" s="1"/>
  <c r="B699" i="15"/>
  <c r="B700" i="15"/>
  <c r="C700" i="15" s="1"/>
  <c r="B708" i="15"/>
  <c r="C719" i="15" s="1"/>
  <c r="B709" i="15"/>
  <c r="C720" i="15" s="1"/>
  <c r="B710" i="15"/>
  <c r="C710" i="15" s="1"/>
  <c r="B711" i="15"/>
  <c r="C711" i="15"/>
  <c r="B719" i="15"/>
  <c r="B720" i="15"/>
  <c r="B721" i="15"/>
  <c r="B722" i="15"/>
  <c r="C722" i="15" s="1"/>
  <c r="B730" i="15"/>
  <c r="C730" i="15" s="1"/>
  <c r="B731" i="15"/>
  <c r="C731" i="15"/>
  <c r="B732" i="15"/>
  <c r="B733" i="15"/>
  <c r="C733" i="15" s="1"/>
  <c r="B741" i="15"/>
  <c r="C741" i="15"/>
  <c r="B742" i="15"/>
  <c r="C742" i="15"/>
  <c r="B743" i="15"/>
  <c r="B744" i="15"/>
  <c r="C744" i="15"/>
  <c r="B752" i="15"/>
  <c r="C752" i="15" s="1"/>
  <c r="B753" i="15"/>
  <c r="C753" i="15" s="1"/>
  <c r="B754" i="15"/>
  <c r="B755" i="15"/>
  <c r="C766" i="15" s="1"/>
  <c r="C755" i="15"/>
  <c r="B763" i="15"/>
  <c r="C763" i="15" s="1"/>
  <c r="B764" i="15"/>
  <c r="C764" i="15"/>
  <c r="B765" i="15"/>
  <c r="B766" i="15"/>
  <c r="B774" i="15"/>
  <c r="C785" i="15" s="1"/>
  <c r="B775" i="15"/>
  <c r="C775" i="15" s="1"/>
  <c r="B776" i="15"/>
  <c r="C776" i="15" s="1"/>
  <c r="B777" i="15"/>
  <c r="C777" i="15"/>
  <c r="B785" i="15"/>
  <c r="B786" i="15"/>
  <c r="B787" i="15"/>
  <c r="B788" i="15"/>
  <c r="C788" i="15" s="1"/>
  <c r="A1" i="17"/>
  <c r="C7" i="17"/>
  <c r="C8" i="17"/>
  <c r="C9" i="17"/>
  <c r="C10" i="17"/>
  <c r="C11" i="17"/>
  <c r="C15" i="17"/>
  <c r="C16" i="17"/>
  <c r="C18" i="17"/>
  <c r="C19" i="17"/>
  <c r="C20" i="17"/>
  <c r="C21" i="17"/>
  <c r="C24" i="17"/>
  <c r="C25" i="17"/>
  <c r="D35" i="17"/>
  <c r="E35" i="17"/>
  <c r="F35" i="17"/>
  <c r="G35" i="17" s="1"/>
  <c r="H35" i="17" s="1"/>
  <c r="I35" i="17" s="1"/>
  <c r="J35" i="17" s="1"/>
  <c r="K35" i="17" s="1"/>
  <c r="L35" i="17" s="1"/>
  <c r="M35" i="17" s="1"/>
  <c r="N35" i="17"/>
  <c r="O35" i="17"/>
  <c r="P35" i="17" s="1"/>
  <c r="Q35" i="17" s="1"/>
  <c r="R35" i="17" s="1"/>
  <c r="S35" i="17" s="1"/>
  <c r="T35" i="17" s="1"/>
  <c r="U35" i="17" s="1"/>
  <c r="V35" i="17" s="1"/>
  <c r="W35" i="17"/>
  <c r="X35" i="17" s="1"/>
  <c r="Y35" i="17" s="1"/>
  <c r="C36" i="17"/>
  <c r="D36" i="17"/>
  <c r="E36" i="17"/>
  <c r="F36" i="17"/>
  <c r="G36" i="17"/>
  <c r="H36" i="17"/>
  <c r="I36" i="17"/>
  <c r="J36" i="17"/>
  <c r="K36" i="17"/>
  <c r="L36" i="17"/>
  <c r="M36" i="17"/>
  <c r="N36" i="17"/>
  <c r="O36" i="17"/>
  <c r="P36" i="17"/>
  <c r="Q36" i="17"/>
  <c r="R36" i="17"/>
  <c r="S36" i="17"/>
  <c r="T36" i="17"/>
  <c r="U36" i="17"/>
  <c r="V36" i="17"/>
  <c r="W36" i="17"/>
  <c r="X36" i="17"/>
  <c r="X38" i="17" s="1"/>
  <c r="X42" i="17" s="1"/>
  <c r="X37"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Y42" i="17"/>
  <c r="N53" i="1" l="1"/>
  <c r="G14" i="8"/>
  <c r="G26" i="8"/>
  <c r="H3" i="8"/>
  <c r="G48" i="8"/>
  <c r="G9" i="8"/>
  <c r="G10" i="8" s="1"/>
  <c r="I26" i="5"/>
  <c r="B25" i="5"/>
  <c r="C774" i="15"/>
  <c r="C31" i="15"/>
  <c r="C786" i="15"/>
  <c r="C645" i="15"/>
  <c r="C588" i="15"/>
  <c r="C401" i="15"/>
  <c r="C321" i="15"/>
  <c r="C241" i="15"/>
  <c r="C161" i="15"/>
  <c r="C81" i="15"/>
  <c r="N46" i="1"/>
  <c r="C709" i="15"/>
  <c r="C721" i="15"/>
  <c r="C529" i="15"/>
  <c r="C418" i="15"/>
  <c r="C338" i="15"/>
  <c r="C258" i="15"/>
  <c r="C178" i="15"/>
  <c r="C98" i="15"/>
  <c r="F14" i="8"/>
  <c r="F26" i="8"/>
  <c r="F48" i="8"/>
  <c r="F9" i="8"/>
  <c r="F10" i="8" s="1"/>
  <c r="B39" i="9"/>
  <c r="E12" i="9"/>
  <c r="B26" i="9"/>
  <c r="G4" i="6"/>
  <c r="E4" i="3"/>
  <c r="E4" i="5"/>
  <c r="C743" i="15"/>
  <c r="C570" i="15"/>
  <c r="C479" i="15"/>
  <c r="C399" i="15"/>
  <c r="E12" i="4"/>
  <c r="B66" i="4"/>
  <c r="E72" i="4" s="1"/>
  <c r="C580" i="15"/>
  <c r="C500" i="15"/>
  <c r="C489" i="15"/>
  <c r="C450" i="15"/>
  <c r="C410" i="15"/>
  <c r="G56" i="6"/>
  <c r="F33" i="2" s="1"/>
  <c r="F71" i="4"/>
  <c r="E16" i="6"/>
  <c r="E17" i="2"/>
  <c r="C732" i="15"/>
  <c r="C560" i="15"/>
  <c r="C480" i="15"/>
  <c r="B11" i="9"/>
  <c r="C50" i="1"/>
  <c r="C48" i="1"/>
  <c r="L88" i="4"/>
  <c r="T88" i="4"/>
  <c r="AB88" i="4"/>
  <c r="F88" i="4"/>
  <c r="O88" i="4"/>
  <c r="X88" i="4"/>
  <c r="H88" i="4"/>
  <c r="Q88" i="4"/>
  <c r="Z88" i="4"/>
  <c r="I88" i="4"/>
  <c r="R88" i="4"/>
  <c r="AA88" i="4"/>
  <c r="E86" i="4"/>
  <c r="M88" i="4"/>
  <c r="AC88" i="4"/>
  <c r="N88" i="4"/>
  <c r="P88" i="4"/>
  <c r="S88" i="4"/>
  <c r="V88" i="4"/>
  <c r="V53" i="4" s="1"/>
  <c r="Y88" i="4"/>
  <c r="E88" i="4"/>
  <c r="D32" i="5" s="1"/>
  <c r="K88" i="4"/>
  <c r="G88" i="4"/>
  <c r="B34" i="5"/>
  <c r="J88" i="4"/>
  <c r="U88" i="4"/>
  <c r="C279" i="15"/>
  <c r="E15" i="2"/>
  <c r="F15" i="2" s="1"/>
  <c r="G15" i="2" s="1"/>
  <c r="H15" i="2" s="1"/>
  <c r="I15" i="2" s="1"/>
  <c r="J15" i="2" s="1"/>
  <c r="K15" i="2" s="1"/>
  <c r="L15" i="2" s="1"/>
  <c r="M15" i="2" s="1"/>
  <c r="N15" i="2" s="1"/>
  <c r="O15" i="2" s="1"/>
  <c r="P15" i="2" s="1"/>
  <c r="Q15" i="2" s="1"/>
  <c r="R15" i="2" s="1"/>
  <c r="S15" i="2" s="1"/>
  <c r="T15" i="2" s="1"/>
  <c r="U15" i="2" s="1"/>
  <c r="V15" i="2" s="1"/>
  <c r="W15" i="2" s="1"/>
  <c r="X15" i="2" s="1"/>
  <c r="B15" i="2"/>
  <c r="C754" i="15"/>
  <c r="C666" i="15"/>
  <c r="C765" i="15"/>
  <c r="C677" i="15"/>
  <c r="C590" i="15"/>
  <c r="C510" i="15"/>
  <c r="C449" i="15"/>
  <c r="C409" i="15"/>
  <c r="C369" i="15"/>
  <c r="C329" i="15"/>
  <c r="C289" i="15"/>
  <c r="C249" i="15"/>
  <c r="AA20" i="8"/>
  <c r="AA41" i="8"/>
  <c r="AA43" i="8" s="1"/>
  <c r="F56" i="6"/>
  <c r="C42" i="5"/>
  <c r="K42" i="5"/>
  <c r="S42" i="5"/>
  <c r="AA42" i="5"/>
  <c r="D42" i="5"/>
  <c r="L42" i="5"/>
  <c r="T42" i="5"/>
  <c r="E42" i="5"/>
  <c r="M42" i="5"/>
  <c r="U42" i="5"/>
  <c r="F42" i="5"/>
  <c r="N42" i="5"/>
  <c r="V42" i="5"/>
  <c r="W88" i="4"/>
  <c r="C655" i="15"/>
  <c r="C439" i="15"/>
  <c r="C319" i="15"/>
  <c r="Z20" i="8"/>
  <c r="Z41" i="8"/>
  <c r="Z43" i="8" s="1"/>
  <c r="C644" i="15"/>
  <c r="C440" i="15"/>
  <c r="C490" i="15"/>
  <c r="C359" i="15"/>
  <c r="C239" i="15"/>
  <c r="C787" i="15"/>
  <c r="C699" i="15"/>
  <c r="C611" i="15"/>
  <c r="C530" i="15"/>
  <c r="AB41" i="8"/>
  <c r="AB43" i="8" s="1"/>
  <c r="D56" i="6"/>
  <c r="N8" i="1"/>
  <c r="N11" i="1" s="1"/>
  <c r="F22" i="1" s="1"/>
  <c r="C29" i="17" s="1"/>
  <c r="K73" i="2"/>
  <c r="S73" i="2"/>
  <c r="D73" i="2"/>
  <c r="C73" i="2" s="1"/>
  <c r="L73" i="2"/>
  <c r="E73" i="2"/>
  <c r="M73" i="2"/>
  <c r="U73" i="2"/>
  <c r="I74" i="2"/>
  <c r="Q74" i="2"/>
  <c r="F73" i="2"/>
  <c r="N73" i="2"/>
  <c r="V73" i="2"/>
  <c r="J74" i="2"/>
  <c r="R74" i="2"/>
  <c r="X35" i="2"/>
  <c r="C21" i="13"/>
  <c r="I38" i="1"/>
  <c r="E14" i="4"/>
  <c r="B97" i="4"/>
  <c r="E43" i="4"/>
  <c r="E45" i="4" s="1"/>
  <c r="Y49" i="3"/>
  <c r="E10" i="16"/>
  <c r="M10" i="16"/>
  <c r="U10" i="16"/>
  <c r="Q10" i="16"/>
  <c r="H10" i="16"/>
  <c r="I10" i="16"/>
  <c r="W10" i="16"/>
  <c r="O10" i="16"/>
  <c r="R10" i="16"/>
  <c r="E10" i="4"/>
  <c r="P10" i="16"/>
  <c r="E21" i="4"/>
  <c r="B22" i="9"/>
  <c r="J10" i="16"/>
  <c r="L10" i="16"/>
  <c r="E36" i="4"/>
  <c r="B82" i="4"/>
  <c r="X10" i="16"/>
  <c r="E13" i="4"/>
  <c r="B9" i="9"/>
  <c r="G10" i="16"/>
  <c r="E9" i="4"/>
  <c r="N25" i="1"/>
  <c r="X49" i="3"/>
  <c r="G47" i="9"/>
  <c r="F52" i="9"/>
  <c r="E35" i="9"/>
  <c r="E34" i="9"/>
  <c r="F33" i="9"/>
  <c r="D32" i="6"/>
  <c r="D4" i="16"/>
  <c r="D5" i="2"/>
  <c r="D4" i="13"/>
  <c r="D21" i="3"/>
  <c r="E8" i="13"/>
  <c r="F8" i="13" s="1"/>
  <c r="G8" i="13" s="1"/>
  <c r="H8" i="13" s="1"/>
  <c r="I8" i="13" s="1"/>
  <c r="J8" i="13" s="1"/>
  <c r="K8" i="13" s="1"/>
  <c r="L8" i="13" s="1"/>
  <c r="M8" i="13" s="1"/>
  <c r="N8" i="13" s="1"/>
  <c r="O8" i="13" s="1"/>
  <c r="P8" i="13" s="1"/>
  <c r="Q8" i="13" s="1"/>
  <c r="R8" i="13" s="1"/>
  <c r="S8" i="13" s="1"/>
  <c r="T8" i="13" s="1"/>
  <c r="U8" i="13" s="1"/>
  <c r="V8" i="13" s="1"/>
  <c r="W8" i="13" s="1"/>
  <c r="E7" i="9"/>
  <c r="F14" i="9" s="1"/>
  <c r="E9" i="9"/>
  <c r="E13" i="9" s="1"/>
  <c r="E20" i="9"/>
  <c r="F28" i="9" s="1"/>
  <c r="E8" i="9"/>
  <c r="E21" i="9"/>
  <c r="F4" i="9"/>
  <c r="E46" i="6"/>
  <c r="M53" i="4"/>
  <c r="E16" i="2"/>
  <c r="D57" i="9"/>
  <c r="D47" i="3"/>
  <c r="E4" i="2"/>
  <c r="D42" i="3"/>
  <c r="D44" i="3" s="1"/>
  <c r="E25" i="10"/>
  <c r="A26" i="10"/>
  <c r="C4" i="13"/>
  <c r="C11" i="3"/>
  <c r="C10" i="3"/>
  <c r="C12" i="3" s="1"/>
  <c r="G103" i="4"/>
  <c r="G53" i="4" s="1"/>
  <c r="F12" i="7" s="1"/>
  <c r="O103" i="4"/>
  <c r="L103" i="4"/>
  <c r="U103" i="4"/>
  <c r="AC103" i="4"/>
  <c r="E103" i="4"/>
  <c r="N103" i="4"/>
  <c r="W103" i="4"/>
  <c r="F103" i="4"/>
  <c r="P103" i="4"/>
  <c r="X103" i="4"/>
  <c r="S53" i="4"/>
  <c r="H73" i="4"/>
  <c r="P73" i="4"/>
  <c r="I73" i="4"/>
  <c r="Q73" i="4"/>
  <c r="Y73" i="4"/>
  <c r="F73" i="4"/>
  <c r="R73" i="4"/>
  <c r="AA73" i="4"/>
  <c r="J73" i="4"/>
  <c r="T73" i="4"/>
  <c r="AC73" i="4"/>
  <c r="K73" i="4"/>
  <c r="U73" i="4"/>
  <c r="O53" i="4"/>
  <c r="D27" i="7"/>
  <c r="D31" i="7" s="1"/>
  <c r="E30" i="7" s="1"/>
  <c r="F3" i="6"/>
  <c r="E32" i="6"/>
  <c r="E53" i="6"/>
  <c r="F4" i="4"/>
  <c r="F43" i="4" s="1"/>
  <c r="V103" i="4"/>
  <c r="I103" i="4"/>
  <c r="E102" i="4"/>
  <c r="N73" i="4"/>
  <c r="T49" i="9"/>
  <c r="S10" i="16"/>
  <c r="K10" i="16"/>
  <c r="H3" i="7"/>
  <c r="G32" i="7"/>
  <c r="H29" i="7" s="1"/>
  <c r="V10" i="16"/>
  <c r="N10" i="16"/>
  <c r="F10" i="16"/>
  <c r="T10" i="16"/>
  <c r="D10" i="16"/>
  <c r="F9" i="7"/>
  <c r="E27" i="7" l="1"/>
  <c r="E31" i="7" s="1"/>
  <c r="F30" i="7" s="1"/>
  <c r="C26" i="3"/>
  <c r="E52" i="4"/>
  <c r="E74" i="4"/>
  <c r="D38" i="3"/>
  <c r="F25" i="10"/>
  <c r="F26" i="10" s="1"/>
  <c r="D26" i="10"/>
  <c r="D27" i="10" s="1"/>
  <c r="F13" i="4"/>
  <c r="E87" i="4"/>
  <c r="E90" i="4"/>
  <c r="F32" i="5"/>
  <c r="X32" i="5"/>
  <c r="N53" i="4"/>
  <c r="K53" i="4"/>
  <c r="G4" i="9"/>
  <c r="F20" i="9"/>
  <c r="G28" i="9" s="1"/>
  <c r="F51" i="9"/>
  <c r="F57" i="9" s="1"/>
  <c r="G9" i="7" s="1"/>
  <c r="F22" i="9"/>
  <c r="F27" i="9" s="1"/>
  <c r="F7" i="9"/>
  <c r="G14" i="9" s="1"/>
  <c r="F9" i="9"/>
  <c r="F13" i="9" s="1"/>
  <c r="F21" i="9"/>
  <c r="F8" i="9"/>
  <c r="F12" i="9" s="1"/>
  <c r="H32" i="5"/>
  <c r="K32" i="5"/>
  <c r="I3" i="7"/>
  <c r="H32" i="7"/>
  <c r="I29" i="7" s="1"/>
  <c r="E4" i="16"/>
  <c r="E5" i="2"/>
  <c r="C6" i="2"/>
  <c r="D64" i="2"/>
  <c r="E7" i="15"/>
  <c r="D63" i="2"/>
  <c r="F16" i="6"/>
  <c r="F17" i="2"/>
  <c r="R32" i="5"/>
  <c r="L32" i="5"/>
  <c r="P32" i="5"/>
  <c r="T53" i="4"/>
  <c r="P53" i="4"/>
  <c r="E104" i="4"/>
  <c r="F15" i="6"/>
  <c r="F16" i="2"/>
  <c r="E8" i="3"/>
  <c r="E17" i="3"/>
  <c r="J32" i="5"/>
  <c r="U32" i="5"/>
  <c r="F53" i="4"/>
  <c r="E12" i="7" s="1"/>
  <c r="E89" i="4"/>
  <c r="C35" i="5" s="1"/>
  <c r="U53" i="4"/>
  <c r="S32" i="5"/>
  <c r="T32" i="5"/>
  <c r="E8" i="7"/>
  <c r="D32" i="2"/>
  <c r="D22" i="17"/>
  <c r="I53" i="4"/>
  <c r="H12" i="7" s="1"/>
  <c r="Z32" i="5"/>
  <c r="C32" i="5"/>
  <c r="J53" i="4"/>
  <c r="H53" i="4"/>
  <c r="G12" i="7" s="1"/>
  <c r="E105" i="4"/>
  <c r="F101" i="4" s="1"/>
  <c r="E53" i="4"/>
  <c r="W25" i="5" s="1"/>
  <c r="F34" i="9"/>
  <c r="G33" i="9"/>
  <c r="F36" i="9"/>
  <c r="F40" i="9" s="1"/>
  <c r="F35" i="9"/>
  <c r="F39" i="9" s="1"/>
  <c r="B36" i="9"/>
  <c r="C33" i="2"/>
  <c r="C22" i="17"/>
  <c r="G37" i="5"/>
  <c r="O37" i="5"/>
  <c r="W37" i="5"/>
  <c r="H37" i="5"/>
  <c r="P37" i="5"/>
  <c r="X37" i="5"/>
  <c r="I37" i="5"/>
  <c r="Q37" i="5"/>
  <c r="Y37" i="5"/>
  <c r="J37" i="5"/>
  <c r="R37" i="5"/>
  <c r="Z37" i="5"/>
  <c r="F37" i="5"/>
  <c r="V37" i="5"/>
  <c r="K37" i="5"/>
  <c r="AA37" i="5"/>
  <c r="C37" i="5"/>
  <c r="L37" i="5"/>
  <c r="S37" i="5"/>
  <c r="M37" i="5"/>
  <c r="N37" i="5"/>
  <c r="E37" i="5"/>
  <c r="T37" i="5"/>
  <c r="U37" i="5"/>
  <c r="D37" i="5"/>
  <c r="H4" i="6"/>
  <c r="F4" i="3"/>
  <c r="F4" i="5"/>
  <c r="O32" i="5"/>
  <c r="M32" i="5"/>
  <c r="F20" i="4"/>
  <c r="F36" i="4"/>
  <c r="F8" i="4"/>
  <c r="F45" i="4"/>
  <c r="F10" i="4"/>
  <c r="F21" i="4"/>
  <c r="F84" i="4"/>
  <c r="F99" i="4"/>
  <c r="F12" i="4"/>
  <c r="F9" i="4"/>
  <c r="F69" i="4"/>
  <c r="C11" i="13"/>
  <c r="C13" i="13" s="1"/>
  <c r="F14" i="4"/>
  <c r="AA32" i="5"/>
  <c r="J26" i="5"/>
  <c r="Y53" i="4"/>
  <c r="G52" i="9"/>
  <c r="H47" i="9"/>
  <c r="E33" i="2"/>
  <c r="L55" i="1"/>
  <c r="N55" i="1" s="1"/>
  <c r="H9" i="8"/>
  <c r="H14" i="8"/>
  <c r="H26" i="8"/>
  <c r="I3" i="8"/>
  <c r="H48" i="8"/>
  <c r="F46" i="6"/>
  <c r="G3" i="6"/>
  <c r="F32" i="6"/>
  <c r="G4" i="4"/>
  <c r="E3" i="3"/>
  <c r="F53" i="6"/>
  <c r="E3" i="5"/>
  <c r="Q53" i="4"/>
  <c r="E47" i="3"/>
  <c r="F4" i="2"/>
  <c r="E43" i="3"/>
  <c r="E44" i="3" s="1"/>
  <c r="E38" i="3" s="1"/>
  <c r="E42" i="3"/>
  <c r="W53" i="4"/>
  <c r="F41" i="9"/>
  <c r="E44" i="4"/>
  <c r="G25" i="13"/>
  <c r="G33" i="13"/>
  <c r="G41" i="13"/>
  <c r="G27" i="13"/>
  <c r="G35" i="13"/>
  <c r="G43" i="13"/>
  <c r="G24" i="13"/>
  <c r="G32" i="13"/>
  <c r="G40" i="13"/>
  <c r="G29" i="13"/>
  <c r="G31" i="13"/>
  <c r="G34" i="13"/>
  <c r="G26" i="13"/>
  <c r="G42" i="13"/>
  <c r="G22" i="13"/>
  <c r="G30" i="13"/>
  <c r="G23" i="13"/>
  <c r="G38" i="13"/>
  <c r="G39" i="13"/>
  <c r="G44" i="13"/>
  <c r="G21" i="13"/>
  <c r="G36" i="13"/>
  <c r="G28" i="13"/>
  <c r="G37" i="13"/>
  <c r="C8" i="1"/>
  <c r="F99" i="1"/>
  <c r="F100" i="1" s="1"/>
  <c r="I19" i="1"/>
  <c r="S27" i="1"/>
  <c r="G19" i="1"/>
  <c r="E51" i="4"/>
  <c r="E26" i="9"/>
  <c r="F26" i="9"/>
  <c r="Q32" i="5"/>
  <c r="Y32" i="5"/>
  <c r="W32" i="5"/>
  <c r="V32" i="5"/>
  <c r="E32" i="5"/>
  <c r="D11" i="13"/>
  <c r="R53" i="4"/>
  <c r="E26" i="10"/>
  <c r="A27" i="10"/>
  <c r="E22" i="9"/>
  <c r="E27" i="9" s="1"/>
  <c r="E39" i="9"/>
  <c r="L53" i="4"/>
  <c r="X53" i="4"/>
  <c r="D11" i="9"/>
  <c r="F11" i="9"/>
  <c r="B38" i="9"/>
  <c r="B16" i="9"/>
  <c r="E11" i="9"/>
  <c r="E16" i="9" s="1"/>
  <c r="E44" i="8" s="1"/>
  <c r="B25" i="9"/>
  <c r="F75" i="4"/>
  <c r="F72" i="4"/>
  <c r="I32" i="5"/>
  <c r="G32" i="5"/>
  <c r="N32" i="5"/>
  <c r="C25" i="5"/>
  <c r="F27" i="7" l="1"/>
  <c r="F31" i="7" s="1"/>
  <c r="G30" i="7"/>
  <c r="H32" i="13"/>
  <c r="I32" i="13"/>
  <c r="J32" i="13" s="1"/>
  <c r="F8" i="7"/>
  <c r="E32" i="2"/>
  <c r="L54" i="1"/>
  <c r="E22" i="17"/>
  <c r="D24" i="16"/>
  <c r="D11" i="16"/>
  <c r="D12" i="16" s="1"/>
  <c r="D13" i="13"/>
  <c r="C14" i="13"/>
  <c r="C15" i="13" s="1"/>
  <c r="D28" i="10"/>
  <c r="H43" i="13"/>
  <c r="I43" i="13" s="1"/>
  <c r="J43" i="13" s="1"/>
  <c r="G9" i="4"/>
  <c r="G45" i="4"/>
  <c r="G12" i="4"/>
  <c r="G8" i="4"/>
  <c r="G99" i="4"/>
  <c r="G10" i="4"/>
  <c r="G21" i="4"/>
  <c r="G36" i="4"/>
  <c r="G84" i="4"/>
  <c r="G20" i="4"/>
  <c r="G69" i="4"/>
  <c r="G43" i="4"/>
  <c r="G13" i="4"/>
  <c r="G14" i="4"/>
  <c r="I47" i="9"/>
  <c r="H52" i="9"/>
  <c r="D65" i="2"/>
  <c r="D66" i="2" s="1"/>
  <c r="C63" i="2"/>
  <c r="D15" i="16"/>
  <c r="L15" i="16"/>
  <c r="T15" i="16"/>
  <c r="F15" i="16"/>
  <c r="N15" i="16"/>
  <c r="V15" i="16"/>
  <c r="G15" i="16"/>
  <c r="O15" i="16"/>
  <c r="W15" i="16"/>
  <c r="E15" i="16"/>
  <c r="R15" i="16"/>
  <c r="I15" i="16"/>
  <c r="U15" i="16"/>
  <c r="J15" i="16"/>
  <c r="X15" i="16"/>
  <c r="P15" i="16"/>
  <c r="H15" i="16"/>
  <c r="M15" i="16"/>
  <c r="Q15" i="16"/>
  <c r="K15" i="16"/>
  <c r="S15" i="16"/>
  <c r="B43" i="9"/>
  <c r="H44" i="13"/>
  <c r="I44" i="13" s="1"/>
  <c r="J44" i="13" s="1"/>
  <c r="E11" i="13"/>
  <c r="E36" i="9"/>
  <c r="E40" i="9" s="1"/>
  <c r="J25" i="5"/>
  <c r="H37" i="13"/>
  <c r="I37" i="13" s="1"/>
  <c r="J37" i="13" s="1"/>
  <c r="I12" i="7"/>
  <c r="J3" i="7"/>
  <c r="I32" i="7"/>
  <c r="J29" i="7" s="1"/>
  <c r="H22" i="13"/>
  <c r="I22" i="13"/>
  <c r="J22" i="13" s="1"/>
  <c r="AA25" i="5"/>
  <c r="H36" i="13"/>
  <c r="I36" i="13" s="1"/>
  <c r="J36" i="13" s="1"/>
  <c r="K26" i="5"/>
  <c r="S25" i="5"/>
  <c r="H26" i="13"/>
  <c r="I26" i="13" s="1"/>
  <c r="J26" i="13" s="1"/>
  <c r="T25" i="5"/>
  <c r="F105" i="4"/>
  <c r="G101" i="4" s="1"/>
  <c r="F102" i="4"/>
  <c r="F104" i="4" s="1"/>
  <c r="X25" i="5"/>
  <c r="F86" i="4"/>
  <c r="E55" i="4"/>
  <c r="D28" i="16" s="1"/>
  <c r="U25" i="5"/>
  <c r="E27" i="10"/>
  <c r="F27" i="10"/>
  <c r="A28" i="10"/>
  <c r="G33" i="16"/>
  <c r="O33" i="16"/>
  <c r="W33" i="16"/>
  <c r="I33" i="16"/>
  <c r="Q33" i="16"/>
  <c r="J33" i="16"/>
  <c r="R33" i="16"/>
  <c r="F33" i="16"/>
  <c r="T33" i="16"/>
  <c r="K33" i="16"/>
  <c r="V33" i="16"/>
  <c r="L33" i="16"/>
  <c r="X33" i="16"/>
  <c r="D33" i="16"/>
  <c r="P33" i="16"/>
  <c r="E33" i="16"/>
  <c r="H33" i="16"/>
  <c r="M33" i="16"/>
  <c r="S33" i="16"/>
  <c r="U33" i="16"/>
  <c r="N33" i="16"/>
  <c r="C10" i="1"/>
  <c r="B9" i="1" s="1"/>
  <c r="B15" i="5"/>
  <c r="B7" i="5"/>
  <c r="B11" i="5"/>
  <c r="H34" i="13"/>
  <c r="I34" i="13"/>
  <c r="J34" i="13" s="1"/>
  <c r="H27" i="13"/>
  <c r="I27" i="13"/>
  <c r="J27" i="13" s="1"/>
  <c r="G33" i="6"/>
  <c r="G53" i="6"/>
  <c r="H3" i="6"/>
  <c r="G32" i="6"/>
  <c r="G46" i="6"/>
  <c r="H4" i="4"/>
  <c r="F3" i="3"/>
  <c r="F3" i="5"/>
  <c r="H39" i="13"/>
  <c r="I39" i="13" s="1"/>
  <c r="J39" i="13" s="1"/>
  <c r="H31" i="13"/>
  <c r="I31" i="13" s="1"/>
  <c r="J31" i="13" s="1"/>
  <c r="N16" i="1"/>
  <c r="H41" i="13"/>
  <c r="I41" i="13" s="1"/>
  <c r="J41" i="13" s="1"/>
  <c r="E38" i="9"/>
  <c r="H25" i="5"/>
  <c r="G16" i="6"/>
  <c r="G17" i="2"/>
  <c r="C64" i="2"/>
  <c r="H30" i="13"/>
  <c r="I30" i="13"/>
  <c r="J30" i="13" s="1"/>
  <c r="H33" i="9"/>
  <c r="G36" i="9"/>
  <c r="G40" i="9" s="1"/>
  <c r="G35" i="9"/>
  <c r="G39" i="9" s="1"/>
  <c r="G34" i="9"/>
  <c r="H28" i="13"/>
  <c r="I28" i="13"/>
  <c r="J28" i="13" s="1"/>
  <c r="G71" i="4"/>
  <c r="I42" i="13"/>
  <c r="J42" i="13" s="1"/>
  <c r="H42" i="13"/>
  <c r="I4" i="6"/>
  <c r="G4" i="3"/>
  <c r="G4" i="5"/>
  <c r="D12" i="7"/>
  <c r="K25" i="5"/>
  <c r="L25" i="5"/>
  <c r="Y25" i="5"/>
  <c r="F25" i="5"/>
  <c r="R25" i="5"/>
  <c r="Q25" i="5"/>
  <c r="V25" i="5"/>
  <c r="M25" i="5"/>
  <c r="O25" i="5"/>
  <c r="G25" i="5"/>
  <c r="Z25" i="5"/>
  <c r="N25" i="5"/>
  <c r="E25" i="5"/>
  <c r="I25" i="5"/>
  <c r="H35" i="13"/>
  <c r="I35" i="13"/>
  <c r="J35" i="13" s="1"/>
  <c r="E25" i="9"/>
  <c r="E30" i="9" s="1"/>
  <c r="E22" i="8" s="1"/>
  <c r="D25" i="9"/>
  <c r="B30" i="9"/>
  <c r="F25" i="9"/>
  <c r="F30" i="9" s="1"/>
  <c r="F22" i="8" s="1"/>
  <c r="H33" i="13"/>
  <c r="I33" i="13" s="1"/>
  <c r="J33" i="13" s="1"/>
  <c r="H10" i="8"/>
  <c r="P68" i="1" s="1"/>
  <c r="H56" i="6"/>
  <c r="D5" i="6"/>
  <c r="D7" i="2"/>
  <c r="D6" i="2"/>
  <c r="C7" i="2"/>
  <c r="C8" i="2" s="1"/>
  <c r="E6" i="2"/>
  <c r="C9" i="2"/>
  <c r="F6" i="2"/>
  <c r="E54" i="4"/>
  <c r="C23" i="5" s="1"/>
  <c r="C30" i="5"/>
  <c r="H24" i="13"/>
  <c r="I24" i="13"/>
  <c r="J24" i="13" s="1"/>
  <c r="E4" i="13"/>
  <c r="E11" i="3"/>
  <c r="E33" i="3"/>
  <c r="E21" i="3"/>
  <c r="F17" i="3"/>
  <c r="F8" i="3"/>
  <c r="G41" i="9"/>
  <c r="F38" i="9"/>
  <c r="F43" i="9" s="1"/>
  <c r="F63" i="6" s="1"/>
  <c r="G15" i="6"/>
  <c r="G16" i="2"/>
  <c r="G7" i="9"/>
  <c r="G51" i="9"/>
  <c r="G57" i="9" s="1"/>
  <c r="H4" i="9"/>
  <c r="G8" i="9"/>
  <c r="G12" i="9" s="1"/>
  <c r="G20" i="9"/>
  <c r="H28" i="9" s="1"/>
  <c r="G22" i="9"/>
  <c r="G27" i="9" s="1"/>
  <c r="G9" i="9"/>
  <c r="G13" i="9" s="1"/>
  <c r="G21" i="9"/>
  <c r="G26" i="9" s="1"/>
  <c r="D25" i="5"/>
  <c r="I21" i="13"/>
  <c r="J21" i="13" s="1"/>
  <c r="H21" i="13"/>
  <c r="F43" i="3"/>
  <c r="F42" i="3"/>
  <c r="G4" i="2"/>
  <c r="F47" i="3"/>
  <c r="H38" i="13"/>
  <c r="I38" i="13"/>
  <c r="J38" i="13" s="1"/>
  <c r="H29" i="13"/>
  <c r="I29" i="13" s="1"/>
  <c r="J29" i="13" s="1"/>
  <c r="F16" i="9"/>
  <c r="F44" i="8" s="1"/>
  <c r="H23" i="13"/>
  <c r="I23" i="13" s="1"/>
  <c r="J23" i="13" s="1"/>
  <c r="H40" i="13"/>
  <c r="I40" i="13"/>
  <c r="J40" i="13" s="1"/>
  <c r="H25" i="13"/>
  <c r="I25" i="13" s="1"/>
  <c r="J25" i="13" s="1"/>
  <c r="I9" i="8"/>
  <c r="J3" i="8"/>
  <c r="I26" i="8"/>
  <c r="I14" i="8"/>
  <c r="I48" i="8"/>
  <c r="F44" i="4"/>
  <c r="P25" i="5"/>
  <c r="F74" i="4"/>
  <c r="F4" i="16"/>
  <c r="F5" i="2"/>
  <c r="E64" i="2"/>
  <c r="F7" i="15"/>
  <c r="E63" i="2"/>
  <c r="D66" i="6"/>
  <c r="D11" i="7"/>
  <c r="D7" i="6" l="1"/>
  <c r="D40" i="6" s="1"/>
  <c r="C14" i="2"/>
  <c r="C20" i="3"/>
  <c r="C10" i="2"/>
  <c r="G4" i="16"/>
  <c r="G5" i="2"/>
  <c r="G7" i="15"/>
  <c r="F64" i="2"/>
  <c r="F63" i="2"/>
  <c r="F65" i="2" s="1"/>
  <c r="H15" i="6"/>
  <c r="H16" i="2"/>
  <c r="G5" i="6"/>
  <c r="F87" i="4"/>
  <c r="F90" i="4"/>
  <c r="F51" i="4"/>
  <c r="K3" i="7"/>
  <c r="J12" i="7"/>
  <c r="J32" i="7"/>
  <c r="K29" i="7" s="1"/>
  <c r="E5" i="6"/>
  <c r="D9" i="2"/>
  <c r="D8" i="2"/>
  <c r="D10" i="2" s="1"/>
  <c r="F4" i="13"/>
  <c r="F11" i="3"/>
  <c r="F33" i="3"/>
  <c r="F21" i="3"/>
  <c r="D33" i="6"/>
  <c r="D34" i="6" s="1"/>
  <c r="C30" i="2" s="1"/>
  <c r="O16" i="1"/>
  <c r="N17" i="1"/>
  <c r="M16" i="1"/>
  <c r="M17" i="1" s="1"/>
  <c r="F23" i="1" s="1"/>
  <c r="C30" i="17" s="1"/>
  <c r="D13" i="6"/>
  <c r="E33" i="6"/>
  <c r="F33" i="6"/>
  <c r="F34" i="6" s="1"/>
  <c r="E30" i="2" s="1"/>
  <c r="D10" i="7"/>
  <c r="F5" i="6"/>
  <c r="E7" i="2"/>
  <c r="E8" i="2" s="1"/>
  <c r="D39" i="6"/>
  <c r="D45" i="6"/>
  <c r="D47" i="6"/>
  <c r="J4" i="6"/>
  <c r="H4" i="3"/>
  <c r="H4" i="5"/>
  <c r="H32" i="6"/>
  <c r="H46" i="6"/>
  <c r="I3" i="6"/>
  <c r="H33" i="6"/>
  <c r="G3" i="3"/>
  <c r="I4" i="4"/>
  <c r="G3" i="5"/>
  <c r="L26" i="5"/>
  <c r="I10" i="8"/>
  <c r="I56" i="6"/>
  <c r="H33" i="2" s="1"/>
  <c r="G75" i="4"/>
  <c r="G72" i="4"/>
  <c r="E6" i="6"/>
  <c r="D13" i="2"/>
  <c r="D10" i="3"/>
  <c r="D12" i="3" s="1"/>
  <c r="G43" i="3"/>
  <c r="G47" i="3"/>
  <c r="G42" i="3"/>
  <c r="H4" i="2"/>
  <c r="G6" i="2"/>
  <c r="E24" i="16"/>
  <c r="E11" i="16"/>
  <c r="E12" i="16" s="1"/>
  <c r="D14" i="13"/>
  <c r="D15" i="13" s="1"/>
  <c r="E13" i="13"/>
  <c r="D30" i="5"/>
  <c r="G34" i="6"/>
  <c r="F30" i="2" s="1"/>
  <c r="F11" i="13"/>
  <c r="E28" i="10"/>
  <c r="F28" i="10" s="1"/>
  <c r="A29" i="10"/>
  <c r="G44" i="4"/>
  <c r="G27" i="7"/>
  <c r="G31" i="7" s="1"/>
  <c r="H30" i="7" s="1"/>
  <c r="F44" i="3"/>
  <c r="F38" i="3" s="1"/>
  <c r="E65" i="2"/>
  <c r="E66" i="2" s="1"/>
  <c r="H8" i="9"/>
  <c r="H12" i="9" s="1"/>
  <c r="I4" i="9"/>
  <c r="H20" i="9"/>
  <c r="H7" i="9"/>
  <c r="H51" i="9"/>
  <c r="H57" i="9" s="1"/>
  <c r="I9" i="7" s="1"/>
  <c r="H9" i="9"/>
  <c r="H13" i="9" s="1"/>
  <c r="H21" i="9"/>
  <c r="H26" i="9" s="1"/>
  <c r="H22" i="9"/>
  <c r="H27" i="9" s="1"/>
  <c r="G25" i="9"/>
  <c r="G30" i="9" s="1"/>
  <c r="G22" i="8" s="1"/>
  <c r="H41" i="9"/>
  <c r="G38" i="9"/>
  <c r="G43" i="9" s="1"/>
  <c r="G63" i="6" s="1"/>
  <c r="H16" i="6"/>
  <c r="H17" i="2"/>
  <c r="B8" i="1"/>
  <c r="C11" i="1" s="1"/>
  <c r="G102" i="4"/>
  <c r="G104" i="4" s="1"/>
  <c r="G105" i="4"/>
  <c r="H101" i="4" s="1"/>
  <c r="P33" i="1"/>
  <c r="H9" i="7"/>
  <c r="C34" i="2"/>
  <c r="G7" i="2"/>
  <c r="H21" i="4"/>
  <c r="H36" i="4"/>
  <c r="H12" i="4"/>
  <c r="H9" i="4"/>
  <c r="H8" i="4"/>
  <c r="H45" i="4"/>
  <c r="H84" i="4"/>
  <c r="H69" i="4"/>
  <c r="H10" i="4"/>
  <c r="H99" i="4"/>
  <c r="H14" i="4"/>
  <c r="H43" i="4"/>
  <c r="H13" i="4"/>
  <c r="N54" i="1"/>
  <c r="N56" i="1" s="1"/>
  <c r="L56" i="1"/>
  <c r="H35" i="9"/>
  <c r="H39" i="9" s="1"/>
  <c r="I33" i="9"/>
  <c r="H36" i="9"/>
  <c r="H40" i="9" s="1"/>
  <c r="H34" i="9"/>
  <c r="F32" i="2"/>
  <c r="F22" i="17"/>
  <c r="G8" i="7"/>
  <c r="S26" i="1"/>
  <c r="S28" i="1" s="1"/>
  <c r="F21" i="8"/>
  <c r="F42" i="8" s="1"/>
  <c r="F7" i="7"/>
  <c r="F7" i="2"/>
  <c r="F8" i="2" s="1"/>
  <c r="I52" i="9"/>
  <c r="J47" i="9"/>
  <c r="K3" i="8"/>
  <c r="J9" i="8"/>
  <c r="J48" i="8"/>
  <c r="J14" i="8"/>
  <c r="J26" i="8"/>
  <c r="G8" i="3"/>
  <c r="G17" i="3"/>
  <c r="H14" i="9"/>
  <c r="G11" i="9"/>
  <c r="G16" i="9" s="1"/>
  <c r="G44" i="8" s="1"/>
  <c r="D6" i="6"/>
  <c r="C50" i="2" s="1"/>
  <c r="C13" i="2"/>
  <c r="D11" i="6" s="1"/>
  <c r="G33" i="2"/>
  <c r="P55" i="1"/>
  <c r="C65" i="2"/>
  <c r="C66" i="2" s="1"/>
  <c r="H44" i="4" l="1"/>
  <c r="F48" i="2"/>
  <c r="G7" i="6"/>
  <c r="G40" i="6" s="1"/>
  <c r="F14" i="2"/>
  <c r="F10" i="2"/>
  <c r="F20" i="3"/>
  <c r="H27" i="7"/>
  <c r="H31" i="7" s="1"/>
  <c r="I30" i="7" s="1"/>
  <c r="F43" i="2"/>
  <c r="F7" i="6"/>
  <c r="F40" i="6" s="1"/>
  <c r="E14" i="2"/>
  <c r="E20" i="3"/>
  <c r="E10" i="2"/>
  <c r="E48" i="6"/>
  <c r="E50" i="6"/>
  <c r="E38" i="6"/>
  <c r="E39" i="6"/>
  <c r="E45" i="6"/>
  <c r="E49" i="6"/>
  <c r="E37" i="6"/>
  <c r="E47" i="6"/>
  <c r="E41" i="6"/>
  <c r="P49" i="1"/>
  <c r="E34" i="6"/>
  <c r="D30" i="2" s="1"/>
  <c r="D29" i="10"/>
  <c r="F89" i="4"/>
  <c r="F52" i="4"/>
  <c r="J33" i="9"/>
  <c r="I36" i="9"/>
  <c r="I40" i="9" s="1"/>
  <c r="I34" i="9"/>
  <c r="I9" i="4"/>
  <c r="I12" i="4"/>
  <c r="I19" i="4"/>
  <c r="I8" i="4"/>
  <c r="I29" i="4"/>
  <c r="I84" i="4"/>
  <c r="I21" i="4"/>
  <c r="I26" i="4"/>
  <c r="I27" i="4" s="1"/>
  <c r="I99" i="4"/>
  <c r="I28" i="4"/>
  <c r="I10" i="4"/>
  <c r="I69" i="4"/>
  <c r="I45" i="4"/>
  <c r="I14" i="4"/>
  <c r="I43" i="4"/>
  <c r="I13" i="4"/>
  <c r="H53" i="6"/>
  <c r="F66" i="2"/>
  <c r="E29" i="10"/>
  <c r="F29" i="10"/>
  <c r="A30" i="10"/>
  <c r="K4" i="6"/>
  <c r="I4" i="3"/>
  <c r="I4" i="5"/>
  <c r="G86" i="4"/>
  <c r="F55" i="4"/>
  <c r="E28" i="16" s="1"/>
  <c r="H34" i="6"/>
  <c r="G30" i="2" s="1"/>
  <c r="G11" i="13"/>
  <c r="G20" i="3"/>
  <c r="G19" i="3" s="1"/>
  <c r="H102" i="4"/>
  <c r="H104" i="4" s="1"/>
  <c r="H105" i="4"/>
  <c r="I101" i="4" s="1"/>
  <c r="I14" i="9"/>
  <c r="H11" i="9"/>
  <c r="H16" i="9" s="1"/>
  <c r="H44" i="8" s="1"/>
  <c r="H5" i="6"/>
  <c r="G8" i="2"/>
  <c r="G9" i="2"/>
  <c r="G10" i="2"/>
  <c r="G44" i="3"/>
  <c r="G38" i="3" s="1"/>
  <c r="G74" i="4"/>
  <c r="F9" i="2"/>
  <c r="H4" i="16"/>
  <c r="H5" i="2"/>
  <c r="G63" i="2"/>
  <c r="H7" i="15"/>
  <c r="G64" i="2"/>
  <c r="D14" i="6"/>
  <c r="C19" i="3"/>
  <c r="C22" i="3" s="1"/>
  <c r="F38" i="6"/>
  <c r="F50" i="6"/>
  <c r="F48" i="6"/>
  <c r="F41" i="6"/>
  <c r="F47" i="6"/>
  <c r="F39" i="6"/>
  <c r="F37" i="6"/>
  <c r="F45" i="6"/>
  <c r="F49" i="6"/>
  <c r="D48" i="6"/>
  <c r="D50" i="6"/>
  <c r="D49" i="6"/>
  <c r="D51" i="6" s="1"/>
  <c r="C39" i="2" s="1"/>
  <c r="D21" i="9"/>
  <c r="D26" i="9" s="1"/>
  <c r="D35" i="9"/>
  <c r="D39" i="9" s="1"/>
  <c r="D8" i="9"/>
  <c r="D12" i="9" s="1"/>
  <c r="C27" i="5"/>
  <c r="C48" i="2"/>
  <c r="D34" i="9"/>
  <c r="D41" i="6"/>
  <c r="D37" i="6"/>
  <c r="D38" i="6"/>
  <c r="D22" i="9"/>
  <c r="D27" i="9" s="1"/>
  <c r="D9" i="9"/>
  <c r="D13" i="9" s="1"/>
  <c r="D36" i="9"/>
  <c r="D40" i="9" s="1"/>
  <c r="C49" i="2"/>
  <c r="K48" i="8"/>
  <c r="L3" i="8"/>
  <c r="K9" i="8"/>
  <c r="K14" i="8"/>
  <c r="K26" i="8"/>
  <c r="H38" i="9"/>
  <c r="H43" i="9" s="1"/>
  <c r="H63" i="6" s="1"/>
  <c r="I41" i="9"/>
  <c r="I16" i="6"/>
  <c r="I17" i="2"/>
  <c r="G21" i="8"/>
  <c r="G42" i="8" s="1"/>
  <c r="G7" i="7"/>
  <c r="F6" i="6"/>
  <c r="E13" i="2"/>
  <c r="E10" i="3"/>
  <c r="E12" i="3" s="1"/>
  <c r="J10" i="8"/>
  <c r="J56" i="6"/>
  <c r="I33" i="2" s="1"/>
  <c r="I28" i="9"/>
  <c r="H25" i="9"/>
  <c r="H30" i="9" s="1"/>
  <c r="H22" i="8" s="1"/>
  <c r="P48" i="1"/>
  <c r="F11" i="16"/>
  <c r="F12" i="16" s="1"/>
  <c r="F24" i="16"/>
  <c r="E14" i="13"/>
  <c r="E15" i="13" s="1"/>
  <c r="F13" i="13"/>
  <c r="H71" i="4"/>
  <c r="I33" i="6"/>
  <c r="I32" i="6"/>
  <c r="J3" i="6"/>
  <c r="I46" i="6"/>
  <c r="J4" i="4"/>
  <c r="H3" i="3"/>
  <c r="H3" i="5"/>
  <c r="L49" i="1"/>
  <c r="C17" i="17"/>
  <c r="O17" i="1"/>
  <c r="F10" i="3"/>
  <c r="F12" i="3" s="1"/>
  <c r="I15" i="6"/>
  <c r="I16" i="2"/>
  <c r="D26" i="3"/>
  <c r="J52" i="9"/>
  <c r="K47" i="9"/>
  <c r="H43" i="3"/>
  <c r="H47" i="3"/>
  <c r="H42" i="3"/>
  <c r="I4" i="2"/>
  <c r="H7" i="2"/>
  <c r="H6" i="2"/>
  <c r="G21" i="3"/>
  <c r="G33" i="3"/>
  <c r="G11" i="3"/>
  <c r="G12" i="3" s="1"/>
  <c r="G4" i="13"/>
  <c r="G10" i="3"/>
  <c r="G6" i="6"/>
  <c r="F13" i="2"/>
  <c r="G11" i="6" s="1"/>
  <c r="H6" i="6"/>
  <c r="G13" i="2"/>
  <c r="J4" i="9"/>
  <c r="I20" i="9"/>
  <c r="I8" i="9"/>
  <c r="I12" i="9" s="1"/>
  <c r="I7" i="9"/>
  <c r="I22" i="9"/>
  <c r="I27" i="9" s="1"/>
  <c r="I9" i="9"/>
  <c r="I13" i="9" s="1"/>
  <c r="I51" i="9"/>
  <c r="I57" i="9" s="1"/>
  <c r="J9" i="7" s="1"/>
  <c r="M26" i="5"/>
  <c r="H8" i="3"/>
  <c r="H17" i="3"/>
  <c r="E9" i="2"/>
  <c r="C43" i="2"/>
  <c r="E7" i="6"/>
  <c r="E40" i="6" s="1"/>
  <c r="D14" i="2"/>
  <c r="E11" i="6" s="1"/>
  <c r="D20" i="3"/>
  <c r="K32" i="7"/>
  <c r="L29" i="7" s="1"/>
  <c r="K12" i="7"/>
  <c r="L3" i="7"/>
  <c r="G47" i="6"/>
  <c r="G37" i="6"/>
  <c r="G41" i="6"/>
  <c r="G49" i="6"/>
  <c r="G38" i="6"/>
  <c r="G48" i="6"/>
  <c r="G45" i="6"/>
  <c r="G39" i="6"/>
  <c r="G50" i="6"/>
  <c r="C54" i="2" l="1"/>
  <c r="I27" i="7"/>
  <c r="I31" i="7" s="1"/>
  <c r="J30" i="7" s="1"/>
  <c r="G26" i="3"/>
  <c r="F26" i="3"/>
  <c r="G26" i="6"/>
  <c r="G22" i="3"/>
  <c r="G28" i="3" s="1"/>
  <c r="E27" i="5"/>
  <c r="F13" i="6"/>
  <c r="E48" i="2"/>
  <c r="E49" i="2"/>
  <c r="H21" i="8"/>
  <c r="H42" i="8" s="1"/>
  <c r="H7" i="7"/>
  <c r="P22" i="1"/>
  <c r="I53" i="6"/>
  <c r="L48" i="8"/>
  <c r="M3" i="8"/>
  <c r="L26" i="8"/>
  <c r="L9" i="8"/>
  <c r="L14" i="8"/>
  <c r="I4" i="16"/>
  <c r="H64" i="2"/>
  <c r="H63" i="2"/>
  <c r="H65" i="2" s="1"/>
  <c r="I5" i="2"/>
  <c r="I7" i="15"/>
  <c r="H7" i="6"/>
  <c r="G43" i="2" s="1"/>
  <c r="G14" i="2"/>
  <c r="H11" i="6" s="1"/>
  <c r="I17" i="3"/>
  <c r="I8" i="3"/>
  <c r="J34" i="9"/>
  <c r="K33" i="9"/>
  <c r="J36" i="9"/>
  <c r="J40" i="9" s="1"/>
  <c r="J35" i="9"/>
  <c r="J39" i="9" s="1"/>
  <c r="G24" i="16"/>
  <c r="G11" i="16"/>
  <c r="G12" i="16" s="1"/>
  <c r="G13" i="13"/>
  <c r="F14" i="13"/>
  <c r="F15" i="13" s="1"/>
  <c r="D38" i="9"/>
  <c r="D43" i="9" s="1"/>
  <c r="E41" i="9"/>
  <c r="E43" i="9" s="1"/>
  <c r="E63" i="6" s="1"/>
  <c r="H48" i="6"/>
  <c r="H38" i="6"/>
  <c r="H47" i="6"/>
  <c r="H45" i="6"/>
  <c r="H49" i="6"/>
  <c r="P36" i="1" s="1"/>
  <c r="H37" i="6"/>
  <c r="H41" i="6"/>
  <c r="H39" i="6"/>
  <c r="H50" i="6"/>
  <c r="L4" i="6"/>
  <c r="J4" i="3"/>
  <c r="J4" i="5"/>
  <c r="D48" i="2"/>
  <c r="E66" i="6"/>
  <c r="E11" i="7"/>
  <c r="P24" i="1"/>
  <c r="P35" i="1"/>
  <c r="G14" i="6"/>
  <c r="F19" i="3"/>
  <c r="F22" i="3" s="1"/>
  <c r="F28" i="3" s="1"/>
  <c r="G66" i="2"/>
  <c r="I38" i="9"/>
  <c r="J41" i="9"/>
  <c r="M3" i="7"/>
  <c r="L12" i="7"/>
  <c r="L32" i="7"/>
  <c r="M29" i="7" s="1"/>
  <c r="C38" i="2"/>
  <c r="H14" i="6"/>
  <c r="G51" i="6"/>
  <c r="F39" i="2" s="1"/>
  <c r="F54" i="2" s="1"/>
  <c r="J4" i="2"/>
  <c r="I42" i="3"/>
  <c r="I43" i="3"/>
  <c r="I44" i="3" s="1"/>
  <c r="I38" i="3" s="1"/>
  <c r="I47" i="3"/>
  <c r="I7" i="2"/>
  <c r="I6" i="2"/>
  <c r="H75" i="4"/>
  <c r="H72" i="4"/>
  <c r="F27" i="5"/>
  <c r="G13" i="6"/>
  <c r="F49" i="2"/>
  <c r="P37" i="1"/>
  <c r="F38" i="2"/>
  <c r="F53" i="2" s="1"/>
  <c r="E14" i="6"/>
  <c r="D19" i="3"/>
  <c r="D22" i="3" s="1"/>
  <c r="J28" i="9"/>
  <c r="I25" i="9"/>
  <c r="I5" i="6"/>
  <c r="H9" i="2"/>
  <c r="H8" i="2"/>
  <c r="H10" i="2" s="1"/>
  <c r="L50" i="1"/>
  <c r="L57" i="1" s="1"/>
  <c r="N49" i="1"/>
  <c r="N50" i="1" s="1"/>
  <c r="J16" i="6"/>
  <c r="J17" i="2"/>
  <c r="E38" i="2"/>
  <c r="E53" i="2" s="1"/>
  <c r="A31" i="10"/>
  <c r="E30" i="10"/>
  <c r="F30" i="10" s="1"/>
  <c r="E13" i="6"/>
  <c r="D35" i="5"/>
  <c r="F54" i="4"/>
  <c r="D23" i="5" s="1"/>
  <c r="P34" i="1"/>
  <c r="J10" i="4"/>
  <c r="J26" i="4"/>
  <c r="J21" i="4"/>
  <c r="J45" i="4" s="1"/>
  <c r="J28" i="4"/>
  <c r="J9" i="4"/>
  <c r="J12" i="4"/>
  <c r="J19" i="4"/>
  <c r="J69" i="4"/>
  <c r="J29" i="4"/>
  <c r="J99" i="4"/>
  <c r="J8" i="4"/>
  <c r="J84" i="4"/>
  <c r="J43" i="4"/>
  <c r="J13" i="4"/>
  <c r="J14" i="4"/>
  <c r="E51" i="6"/>
  <c r="P32" i="1"/>
  <c r="D30" i="9"/>
  <c r="D22" i="8" s="1"/>
  <c r="D42" i="6"/>
  <c r="C31" i="2" s="1"/>
  <c r="G65" i="2"/>
  <c r="G32" i="2"/>
  <c r="G22" i="17"/>
  <c r="H8" i="7"/>
  <c r="P54" i="1"/>
  <c r="D38" i="2"/>
  <c r="D53" i="2" s="1"/>
  <c r="J14" i="9"/>
  <c r="I11" i="9"/>
  <c r="I16" i="9" s="1"/>
  <c r="I44" i="8" s="1"/>
  <c r="N26" i="5"/>
  <c r="J9" i="9"/>
  <c r="J13" i="9" s="1"/>
  <c r="J8" i="9"/>
  <c r="J12" i="9" s="1"/>
  <c r="J21" i="9"/>
  <c r="J26" i="9" s="1"/>
  <c r="K4" i="9"/>
  <c r="J20" i="9"/>
  <c r="J51" i="9"/>
  <c r="J57" i="9" s="1"/>
  <c r="K9" i="7" s="1"/>
  <c r="J22" i="9"/>
  <c r="J27" i="9" s="1"/>
  <c r="J7" i="9"/>
  <c r="I6" i="6"/>
  <c r="H13" i="2"/>
  <c r="H44" i="3"/>
  <c r="H38" i="3" s="1"/>
  <c r="E26" i="3"/>
  <c r="F26" i="6"/>
  <c r="F51" i="6"/>
  <c r="E39" i="2" s="1"/>
  <c r="E54" i="2" s="1"/>
  <c r="C28" i="3"/>
  <c r="D25" i="6"/>
  <c r="D27" i="6"/>
  <c r="D26" i="6"/>
  <c r="E30" i="5"/>
  <c r="I44" i="4"/>
  <c r="D49" i="2"/>
  <c r="D30" i="10"/>
  <c r="D31" i="10" s="1"/>
  <c r="E42" i="6"/>
  <c r="F14" i="6"/>
  <c r="E19" i="3"/>
  <c r="E22" i="3" s="1"/>
  <c r="E28" i="3" s="1"/>
  <c r="K10" i="8"/>
  <c r="K56" i="6"/>
  <c r="J33" i="2" s="1"/>
  <c r="G27" i="5"/>
  <c r="H13" i="6"/>
  <c r="I35" i="9"/>
  <c r="I39" i="9" s="1"/>
  <c r="J32" i="6"/>
  <c r="J33" i="6"/>
  <c r="J46" i="6"/>
  <c r="K3" i="6"/>
  <c r="K4" i="4"/>
  <c r="I3" i="3"/>
  <c r="I3" i="5"/>
  <c r="G42" i="6"/>
  <c r="F31" i="2" s="1"/>
  <c r="I21" i="9"/>
  <c r="I26" i="9" s="1"/>
  <c r="L47" i="9"/>
  <c r="K52" i="9"/>
  <c r="J15" i="6"/>
  <c r="J16" i="2"/>
  <c r="H10" i="3"/>
  <c r="H12" i="3"/>
  <c r="H21" i="3"/>
  <c r="H33" i="3"/>
  <c r="H4" i="13"/>
  <c r="H11" i="3"/>
  <c r="I34" i="6"/>
  <c r="H30" i="2" s="1"/>
  <c r="H11" i="13"/>
  <c r="F11" i="6"/>
  <c r="E43" i="2"/>
  <c r="D16" i="9"/>
  <c r="D44" i="8" s="1"/>
  <c r="F42" i="6"/>
  <c r="E31" i="2" s="1"/>
  <c r="I102" i="4"/>
  <c r="I104" i="4" s="1"/>
  <c r="I105" i="4"/>
  <c r="J101" i="4" s="1"/>
  <c r="G87" i="4"/>
  <c r="G90" i="4"/>
  <c r="G51" i="4"/>
  <c r="I30" i="4"/>
  <c r="D27" i="5"/>
  <c r="D43" i="2"/>
  <c r="J44" i="4" l="1"/>
  <c r="K30" i="7"/>
  <c r="J27" i="7"/>
  <c r="J31" i="7" s="1"/>
  <c r="P39" i="1"/>
  <c r="G31" i="3"/>
  <c r="G29" i="3" s="1"/>
  <c r="H51" i="6"/>
  <c r="G39" i="2" s="1"/>
  <c r="G54" i="2" s="1"/>
  <c r="J102" i="4"/>
  <c r="J104" i="4" s="1"/>
  <c r="J105" i="4"/>
  <c r="K101" i="4" s="1"/>
  <c r="J53" i="6"/>
  <c r="D28" i="6"/>
  <c r="K22" i="9"/>
  <c r="K27" i="9" s="1"/>
  <c r="K21" i="9"/>
  <c r="K26" i="9" s="1"/>
  <c r="K8" i="9"/>
  <c r="K12" i="9" s="1"/>
  <c r="K9" i="9"/>
  <c r="K13" i="9" s="1"/>
  <c r="L4" i="9"/>
  <c r="K20" i="9"/>
  <c r="K7" i="9"/>
  <c r="K51" i="9"/>
  <c r="K57" i="9" s="1"/>
  <c r="L9" i="7" s="1"/>
  <c r="I71" i="4"/>
  <c r="J8" i="3"/>
  <c r="J17" i="3"/>
  <c r="I20" i="3"/>
  <c r="D28" i="3"/>
  <c r="E25" i="6"/>
  <c r="E26" i="6"/>
  <c r="P9" i="1" s="1"/>
  <c r="E27" i="6"/>
  <c r="E10" i="7"/>
  <c r="A32" i="10"/>
  <c r="E31" i="10"/>
  <c r="F31" i="10"/>
  <c r="H66" i="2"/>
  <c r="G89" i="4"/>
  <c r="G52" i="4"/>
  <c r="F58" i="2"/>
  <c r="F44" i="2"/>
  <c r="K28" i="9"/>
  <c r="J25" i="9"/>
  <c r="J30" i="9" s="1"/>
  <c r="J22" i="8" s="1"/>
  <c r="G48" i="2"/>
  <c r="J27" i="4"/>
  <c r="H74" i="4"/>
  <c r="K15" i="6"/>
  <c r="K16" i="2"/>
  <c r="I11" i="3"/>
  <c r="I12" i="3" s="1"/>
  <c r="I4" i="13"/>
  <c r="I21" i="3"/>
  <c r="I10" i="3"/>
  <c r="I33" i="3"/>
  <c r="J34" i="6"/>
  <c r="I30" i="2" s="1"/>
  <c r="I11" i="13"/>
  <c r="J30" i="4"/>
  <c r="J5" i="6"/>
  <c r="I9" i="2"/>
  <c r="I10" i="2"/>
  <c r="I8" i="2"/>
  <c r="N3" i="7"/>
  <c r="M12" i="7"/>
  <c r="M32" i="7"/>
  <c r="N29" i="7" s="1"/>
  <c r="M4" i="6"/>
  <c r="K4" i="3"/>
  <c r="K4" i="5"/>
  <c r="G38" i="2"/>
  <c r="G53" i="2" s="1"/>
  <c r="L10" i="8"/>
  <c r="L56" i="6"/>
  <c r="K33" i="2" s="1"/>
  <c r="M14" i="8"/>
  <c r="M26" i="8"/>
  <c r="M48" i="8"/>
  <c r="N3" i="8"/>
  <c r="M9" i="8"/>
  <c r="E58" i="2"/>
  <c r="E44" i="2"/>
  <c r="P21" i="1"/>
  <c r="C44" i="2"/>
  <c r="D50" i="2"/>
  <c r="D34" i="2"/>
  <c r="I50" i="1"/>
  <c r="I49" i="6"/>
  <c r="I37" i="6"/>
  <c r="I50" i="6"/>
  <c r="I48" i="6"/>
  <c r="I45" i="6"/>
  <c r="I41" i="6"/>
  <c r="I38" i="6"/>
  <c r="I47" i="6"/>
  <c r="I39" i="6"/>
  <c r="J6" i="6"/>
  <c r="I13" i="2"/>
  <c r="J42" i="3"/>
  <c r="J43" i="3"/>
  <c r="J44" i="3" s="1"/>
  <c r="J38" i="3" s="1"/>
  <c r="K4" i="2"/>
  <c r="J47" i="3"/>
  <c r="J7" i="2"/>
  <c r="J6" i="2"/>
  <c r="H40" i="6"/>
  <c r="H42" i="6" s="1"/>
  <c r="G49" i="2"/>
  <c r="H25" i="6"/>
  <c r="D32" i="10"/>
  <c r="O26" i="5"/>
  <c r="C53" i="2"/>
  <c r="H86" i="4"/>
  <c r="G55" i="4"/>
  <c r="F28" i="16" s="1"/>
  <c r="E31" i="3"/>
  <c r="E27" i="3"/>
  <c r="E32" i="3" s="1"/>
  <c r="D39" i="2"/>
  <c r="P53" i="1"/>
  <c r="H11" i="16"/>
  <c r="H12" i="16" s="1"/>
  <c r="H21" i="16" s="1"/>
  <c r="H24" i="16"/>
  <c r="G14" i="13"/>
  <c r="G15" i="13" s="1"/>
  <c r="H13" i="13"/>
  <c r="E29" i="3"/>
  <c r="C29" i="3"/>
  <c r="C31" i="3"/>
  <c r="K29" i="4"/>
  <c r="K21" i="4"/>
  <c r="K45" i="4" s="1"/>
  <c r="K28" i="4"/>
  <c r="K99" i="4"/>
  <c r="K84" i="4"/>
  <c r="K26" i="4"/>
  <c r="K27" i="4" s="1"/>
  <c r="K8" i="4"/>
  <c r="K9" i="4"/>
  <c r="K12" i="4"/>
  <c r="K19" i="4"/>
  <c r="K10" i="4"/>
  <c r="K69" i="4"/>
  <c r="K13" i="4"/>
  <c r="K14" i="4"/>
  <c r="K43" i="4"/>
  <c r="L3" i="6"/>
  <c r="K33" i="6"/>
  <c r="K46" i="6"/>
  <c r="K32" i="6"/>
  <c r="J3" i="3"/>
  <c r="L4" i="4"/>
  <c r="J3" i="5"/>
  <c r="P20" i="1"/>
  <c r="F25" i="6"/>
  <c r="H27" i="5"/>
  <c r="I13" i="6"/>
  <c r="K16" i="6"/>
  <c r="K17" i="2"/>
  <c r="I30" i="9"/>
  <c r="I22" i="8" s="1"/>
  <c r="E7" i="7"/>
  <c r="E21" i="8"/>
  <c r="E42" i="8" s="1"/>
  <c r="G25" i="6"/>
  <c r="G28" i="6" s="1"/>
  <c r="H27" i="6"/>
  <c r="K34" i="9"/>
  <c r="K36" i="9"/>
  <c r="K40" i="9" s="1"/>
  <c r="K35" i="9"/>
  <c r="K39" i="9" s="1"/>
  <c r="L33" i="9"/>
  <c r="H32" i="2"/>
  <c r="H48" i="2" s="1"/>
  <c r="H22" i="17"/>
  <c r="I8" i="7"/>
  <c r="K41" i="9"/>
  <c r="J38" i="9"/>
  <c r="J43" i="9" s="1"/>
  <c r="J63" i="6" s="1"/>
  <c r="F31" i="3"/>
  <c r="F27" i="3" s="1"/>
  <c r="H26" i="3"/>
  <c r="I7" i="6"/>
  <c r="H14" i="2"/>
  <c r="I11" i="6" s="1"/>
  <c r="L52" i="9"/>
  <c r="M47" i="9"/>
  <c r="D31" i="2"/>
  <c r="F27" i="6"/>
  <c r="K14" i="9"/>
  <c r="J11" i="9"/>
  <c r="J16" i="9" s="1"/>
  <c r="J44" i="8" s="1"/>
  <c r="I43" i="9"/>
  <c r="I63" i="6" s="1"/>
  <c r="G16" i="16"/>
  <c r="G17" i="16" s="1"/>
  <c r="G21" i="16" s="1"/>
  <c r="I16" i="16"/>
  <c r="I17" i="16" s="1"/>
  <c r="J16" i="16"/>
  <c r="J17" i="16" s="1"/>
  <c r="F16" i="16"/>
  <c r="F17" i="16" s="1"/>
  <c r="F21" i="16" s="1"/>
  <c r="D63" i="6"/>
  <c r="D16" i="16"/>
  <c r="D17" i="16" s="1"/>
  <c r="D21" i="16" s="1"/>
  <c r="E16" i="16"/>
  <c r="E17" i="16" s="1"/>
  <c r="E21" i="16" s="1"/>
  <c r="H16" i="16"/>
  <c r="H17" i="16" s="1"/>
  <c r="D45" i="9"/>
  <c r="E45" i="9" s="1"/>
  <c r="F45" i="9" s="1"/>
  <c r="G45" i="9" s="1"/>
  <c r="H45" i="9" s="1"/>
  <c r="I45" i="9" s="1"/>
  <c r="J45" i="9" s="1"/>
  <c r="J4" i="16"/>
  <c r="J5" i="2"/>
  <c r="I64" i="2"/>
  <c r="I63" i="2"/>
  <c r="I65" i="2" s="1"/>
  <c r="J7" i="15"/>
  <c r="H20" i="3"/>
  <c r="G27" i="6"/>
  <c r="H26" i="6"/>
  <c r="G31" i="2" l="1"/>
  <c r="P25" i="1"/>
  <c r="P52" i="1"/>
  <c r="P56" i="1" s="1"/>
  <c r="I26" i="3"/>
  <c r="F32" i="3"/>
  <c r="K44" i="4"/>
  <c r="I11" i="16"/>
  <c r="I12" i="16" s="1"/>
  <c r="I21" i="16" s="1"/>
  <c r="I24" i="16"/>
  <c r="I13" i="13"/>
  <c r="H14" i="13"/>
  <c r="H15" i="13" s="1"/>
  <c r="H38" i="2"/>
  <c r="I32" i="2"/>
  <c r="I22" i="17"/>
  <c r="J8" i="7"/>
  <c r="K5" i="6"/>
  <c r="J9" i="2"/>
  <c r="J8" i="2"/>
  <c r="L28" i="9"/>
  <c r="K25" i="9"/>
  <c r="K30" i="9" s="1"/>
  <c r="K22" i="8" s="1"/>
  <c r="K105" i="4"/>
  <c r="L101" i="4" s="1"/>
  <c r="K102" i="4"/>
  <c r="K104" i="4" s="1"/>
  <c r="F28" i="6"/>
  <c r="P26" i="5"/>
  <c r="E35" i="5"/>
  <c r="G54" i="4"/>
  <c r="E23" i="5" s="1"/>
  <c r="F29" i="3"/>
  <c r="I21" i="8"/>
  <c r="I42" i="8" s="1"/>
  <c r="I7" i="7"/>
  <c r="C23" i="2"/>
  <c r="C24" i="2"/>
  <c r="D12" i="6" s="1"/>
  <c r="C34" i="3"/>
  <c r="C36" i="3" s="1"/>
  <c r="D23" i="6" s="1"/>
  <c r="D29" i="6" s="1"/>
  <c r="D58" i="6" s="1"/>
  <c r="D9" i="15" s="1"/>
  <c r="C27" i="3"/>
  <c r="C32" i="3" s="1"/>
  <c r="D54" i="2"/>
  <c r="I27" i="5"/>
  <c r="J13" i="6"/>
  <c r="I42" i="6"/>
  <c r="H31" i="2" s="1"/>
  <c r="C58" i="2"/>
  <c r="O3" i="7"/>
  <c r="N12" i="7"/>
  <c r="N32" i="7"/>
  <c r="O29" i="7" s="1"/>
  <c r="I72" i="4"/>
  <c r="I75" i="4"/>
  <c r="L15" i="6"/>
  <c r="L16" i="2"/>
  <c r="C29" i="2"/>
  <c r="N14" i="8"/>
  <c r="N26" i="8"/>
  <c r="N48" i="8"/>
  <c r="O3" i="8"/>
  <c r="N9" i="8"/>
  <c r="G29" i="6"/>
  <c r="G58" i="6" s="1"/>
  <c r="G9" i="15" s="1"/>
  <c r="F29" i="2"/>
  <c r="M3" i="6"/>
  <c r="L32" i="6"/>
  <c r="L46" i="6"/>
  <c r="L53" i="6"/>
  <c r="L33" i="6"/>
  <c r="M4" i="4"/>
  <c r="K3" i="3"/>
  <c r="K3" i="5"/>
  <c r="M10" i="8"/>
  <c r="M56" i="6"/>
  <c r="L33" i="2" s="1"/>
  <c r="N4" i="6"/>
  <c r="L4" i="3"/>
  <c r="L4" i="5"/>
  <c r="F30" i="5"/>
  <c r="P10" i="1"/>
  <c r="K27" i="7"/>
  <c r="K31" i="7" s="1"/>
  <c r="L30" i="7" s="1"/>
  <c r="L8" i="4"/>
  <c r="L19" i="4"/>
  <c r="L10" i="4"/>
  <c r="L26" i="4"/>
  <c r="L9" i="4"/>
  <c r="L30" i="4"/>
  <c r="L69" i="4"/>
  <c r="L21" i="4"/>
  <c r="L45" i="4" s="1"/>
  <c r="L84" i="4"/>
  <c r="L29" i="4"/>
  <c r="L12" i="4"/>
  <c r="L99" i="4"/>
  <c r="L28" i="4"/>
  <c r="L13" i="4"/>
  <c r="L43" i="4"/>
  <c r="L14" i="4"/>
  <c r="E32" i="10"/>
  <c r="F32" i="10"/>
  <c r="A33" i="10"/>
  <c r="G24" i="2"/>
  <c r="H12" i="6" s="1"/>
  <c r="G34" i="3"/>
  <c r="G36" i="3" s="1"/>
  <c r="H23" i="6" s="1"/>
  <c r="D44" i="2"/>
  <c r="J10" i="3"/>
  <c r="J19" i="3"/>
  <c r="J11" i="3"/>
  <c r="J12" i="3" s="1"/>
  <c r="J21" i="3"/>
  <c r="J22" i="3" s="1"/>
  <c r="J28" i="3" s="1"/>
  <c r="J33" i="3"/>
  <c r="J4" i="13"/>
  <c r="H90" i="4"/>
  <c r="H87" i="4"/>
  <c r="H51" i="4"/>
  <c r="K8" i="3"/>
  <c r="K17" i="3"/>
  <c r="L14" i="9"/>
  <c r="K11" i="9"/>
  <c r="K16" i="9" s="1"/>
  <c r="K44" i="8" s="1"/>
  <c r="G27" i="3"/>
  <c r="G32" i="3" s="1"/>
  <c r="I66" i="2"/>
  <c r="D7" i="7"/>
  <c r="D21" i="8"/>
  <c r="D42" i="8" s="1"/>
  <c r="I51" i="6"/>
  <c r="H39" i="2" s="1"/>
  <c r="H54" i="2" s="1"/>
  <c r="J41" i="6"/>
  <c r="J49" i="6"/>
  <c r="J39" i="6"/>
  <c r="J38" i="6"/>
  <c r="I38" i="2" s="1"/>
  <c r="I53" i="2" s="1"/>
  <c r="J45" i="6"/>
  <c r="J47" i="6"/>
  <c r="J50" i="6"/>
  <c r="J48" i="6"/>
  <c r="J37" i="6"/>
  <c r="J20" i="3"/>
  <c r="K4" i="16"/>
  <c r="J64" i="2"/>
  <c r="J63" i="2"/>
  <c r="J65" i="2" s="1"/>
  <c r="K5" i="2"/>
  <c r="K7" i="15"/>
  <c r="K34" i="6"/>
  <c r="J30" i="2" s="1"/>
  <c r="J11" i="13"/>
  <c r="K6" i="6"/>
  <c r="J13" i="2"/>
  <c r="F66" i="6"/>
  <c r="F11" i="7"/>
  <c r="L51" i="9"/>
  <c r="L57" i="9" s="1"/>
  <c r="M9" i="7" s="1"/>
  <c r="L9" i="9"/>
  <c r="L13" i="9" s="1"/>
  <c r="L21" i="9"/>
  <c r="L26" i="9" s="1"/>
  <c r="L8" i="9"/>
  <c r="L12" i="9" s="1"/>
  <c r="M4" i="9"/>
  <c r="L22" i="9"/>
  <c r="L27" i="9" s="1"/>
  <c r="L20" i="9"/>
  <c r="L7" i="9"/>
  <c r="M52" i="9"/>
  <c r="N47" i="9"/>
  <c r="L34" i="9"/>
  <c r="M33" i="9"/>
  <c r="L36" i="9"/>
  <c r="L40" i="9" s="1"/>
  <c r="L35" i="9"/>
  <c r="L39" i="9" s="1"/>
  <c r="F23" i="2"/>
  <c r="F24" i="2"/>
  <c r="G12" i="6" s="1"/>
  <c r="F34" i="3"/>
  <c r="F36" i="3" s="1"/>
  <c r="G23" i="6" s="1"/>
  <c r="L16" i="6"/>
  <c r="L17" i="2"/>
  <c r="K53" i="6"/>
  <c r="K30" i="4"/>
  <c r="D33" i="10"/>
  <c r="E28" i="6"/>
  <c r="P8" i="1"/>
  <c r="I14" i="6"/>
  <c r="H19" i="3"/>
  <c r="H22" i="3" s="1"/>
  <c r="I40" i="6"/>
  <c r="H43" i="2"/>
  <c r="H49" i="2"/>
  <c r="J21" i="8"/>
  <c r="J42" i="8" s="1"/>
  <c r="J7" i="7"/>
  <c r="K38" i="9"/>
  <c r="K43" i="9" s="1"/>
  <c r="L41" i="9"/>
  <c r="E24" i="2"/>
  <c r="F12" i="6" s="1"/>
  <c r="E34" i="3"/>
  <c r="E36" i="3" s="1"/>
  <c r="F23" i="6" s="1"/>
  <c r="H28" i="6"/>
  <c r="K42" i="3"/>
  <c r="K43" i="3"/>
  <c r="K44" i="3" s="1"/>
  <c r="K38" i="3" s="1"/>
  <c r="K47" i="3"/>
  <c r="L4" i="2"/>
  <c r="K7" i="2"/>
  <c r="K6" i="2"/>
  <c r="J7" i="6"/>
  <c r="I14" i="2"/>
  <c r="J11" i="6" s="1"/>
  <c r="I19" i="3"/>
  <c r="I22" i="3" s="1"/>
  <c r="D31" i="3"/>
  <c r="D29" i="3" s="1"/>
  <c r="I28" i="3" l="1"/>
  <c r="J26" i="6"/>
  <c r="J25" i="6"/>
  <c r="J27" i="6"/>
  <c r="J26" i="3"/>
  <c r="K25" i="6"/>
  <c r="K27" i="6"/>
  <c r="K26" i="6"/>
  <c r="L44" i="4"/>
  <c r="L27" i="7"/>
  <c r="L31" i="7" s="1"/>
  <c r="M30" i="7" s="1"/>
  <c r="I15" i="13"/>
  <c r="M14" i="9"/>
  <c r="L11" i="9"/>
  <c r="L16" i="9" s="1"/>
  <c r="L44" i="8" s="1"/>
  <c r="L4" i="16"/>
  <c r="K64" i="2"/>
  <c r="K63" i="2"/>
  <c r="L5" i="2"/>
  <c r="L7" i="15"/>
  <c r="C12" i="2"/>
  <c r="D10" i="6" s="1"/>
  <c r="D17" i="6" s="1"/>
  <c r="C25" i="2"/>
  <c r="C76" i="2"/>
  <c r="J66" i="2"/>
  <c r="G23" i="2"/>
  <c r="O4" i="6"/>
  <c r="M4" i="3"/>
  <c r="M4" i="5"/>
  <c r="O14" i="8"/>
  <c r="O26" i="8"/>
  <c r="O9" i="8"/>
  <c r="O48" i="8"/>
  <c r="P3" i="8"/>
  <c r="M7" i="9"/>
  <c r="M22" i="9"/>
  <c r="M27" i="9" s="1"/>
  <c r="M9" i="9"/>
  <c r="M13" i="9" s="1"/>
  <c r="M8" i="9"/>
  <c r="M12" i="9" s="1"/>
  <c r="M20" i="9"/>
  <c r="N4" i="9"/>
  <c r="M21" i="9"/>
  <c r="M26" i="9" s="1"/>
  <c r="M51" i="9"/>
  <c r="M57" i="9" s="1"/>
  <c r="N9" i="7" s="1"/>
  <c r="C57" i="2"/>
  <c r="C42" i="2"/>
  <c r="C35" i="2"/>
  <c r="Q26" i="5"/>
  <c r="H89" i="4"/>
  <c r="H52" i="4"/>
  <c r="E33" i="10"/>
  <c r="A34" i="10"/>
  <c r="F33" i="10"/>
  <c r="O12" i="7"/>
  <c r="P3" i="7"/>
  <c r="O32" i="7"/>
  <c r="P29" i="7" s="1"/>
  <c r="I48" i="2"/>
  <c r="I31" i="3"/>
  <c r="I27" i="3" s="1"/>
  <c r="H29" i="6"/>
  <c r="H58" i="6" s="1"/>
  <c r="H9" i="15" s="1"/>
  <c r="G29" i="2"/>
  <c r="D34" i="10"/>
  <c r="J32" i="2"/>
  <c r="J22" i="17"/>
  <c r="K8" i="7"/>
  <c r="M16" i="6"/>
  <c r="M17" i="2"/>
  <c r="M35" i="9"/>
  <c r="M39" i="9" s="1"/>
  <c r="M34" i="9"/>
  <c r="N33" i="9"/>
  <c r="M36" i="9"/>
  <c r="M40" i="9" s="1"/>
  <c r="J40" i="6"/>
  <c r="I49" i="2"/>
  <c r="H28" i="3"/>
  <c r="I27" i="6"/>
  <c r="I25" i="6"/>
  <c r="I26" i="6"/>
  <c r="L38" i="9"/>
  <c r="L43" i="9" s="1"/>
  <c r="L63" i="6" s="1"/>
  <c r="M41" i="9"/>
  <c r="J42" i="6"/>
  <c r="I86" i="4"/>
  <c r="H55" i="4"/>
  <c r="G28" i="16" s="1"/>
  <c r="L27" i="4"/>
  <c r="N10" i="8"/>
  <c r="N56" i="6"/>
  <c r="M33" i="2" s="1"/>
  <c r="J14" i="6"/>
  <c r="F29" i="6"/>
  <c r="F58" i="6" s="1"/>
  <c r="F9" i="15" s="1"/>
  <c r="E29" i="2"/>
  <c r="F76" i="2"/>
  <c r="F12" i="2"/>
  <c r="G10" i="6" s="1"/>
  <c r="G17" i="6" s="1"/>
  <c r="F25" i="2"/>
  <c r="M28" i="9"/>
  <c r="L25" i="9"/>
  <c r="L30" i="9" s="1"/>
  <c r="L22" i="8" s="1"/>
  <c r="F10" i="7"/>
  <c r="K32" i="2"/>
  <c r="K22" i="17"/>
  <c r="L8" i="7"/>
  <c r="L47" i="3"/>
  <c r="M4" i="2"/>
  <c r="L42" i="3"/>
  <c r="L43" i="3"/>
  <c r="L44" i="3" s="1"/>
  <c r="L38" i="3" s="1"/>
  <c r="L6" i="2"/>
  <c r="L7" i="2"/>
  <c r="M12" i="4"/>
  <c r="M29" i="4"/>
  <c r="M10" i="4"/>
  <c r="M26" i="4"/>
  <c r="M27" i="4" s="1"/>
  <c r="M21" i="4"/>
  <c r="M28" i="4"/>
  <c r="M9" i="4"/>
  <c r="M69" i="4"/>
  <c r="M19" i="4"/>
  <c r="M8" i="4"/>
  <c r="M99" i="4"/>
  <c r="M84" i="4"/>
  <c r="M14" i="4"/>
  <c r="M13" i="4"/>
  <c r="M43" i="4"/>
  <c r="M45" i="4" s="1"/>
  <c r="F42" i="2"/>
  <c r="F45" i="2" s="1"/>
  <c r="F47" i="2" s="1"/>
  <c r="F57" i="2"/>
  <c r="F59" i="2" s="1"/>
  <c r="K16" i="16"/>
  <c r="K17" i="16" s="1"/>
  <c r="K63" i="6"/>
  <c r="O47" i="9"/>
  <c r="N52" i="9"/>
  <c r="L34" i="6"/>
  <c r="K30" i="2" s="1"/>
  <c r="K11" i="13"/>
  <c r="M15" i="6"/>
  <c r="M16" i="2"/>
  <c r="K45" i="9"/>
  <c r="K7" i="6"/>
  <c r="J27" i="5" s="1"/>
  <c r="J14" i="2"/>
  <c r="H53" i="2"/>
  <c r="D29" i="2"/>
  <c r="P11" i="1"/>
  <c r="M46" i="6"/>
  <c r="M32" i="6"/>
  <c r="M33" i="6"/>
  <c r="M53" i="6"/>
  <c r="N3" i="6"/>
  <c r="N4" i="4"/>
  <c r="L3" i="3"/>
  <c r="L3" i="5"/>
  <c r="J71" i="4"/>
  <c r="E34" i="2"/>
  <c r="E50" i="2"/>
  <c r="J11" i="16"/>
  <c r="J12" i="16" s="1"/>
  <c r="J21" i="16" s="1"/>
  <c r="J24" i="16"/>
  <c r="J13" i="13"/>
  <c r="I14" i="13"/>
  <c r="D24" i="2"/>
  <c r="E12" i="6" s="1"/>
  <c r="D34" i="3"/>
  <c r="D36" i="3" s="1"/>
  <c r="E23" i="6" s="1"/>
  <c r="E29" i="6" s="1"/>
  <c r="E58" i="6" s="1"/>
  <c r="E9" i="15" s="1"/>
  <c r="D23" i="2"/>
  <c r="D27" i="3"/>
  <c r="D32" i="3" s="1"/>
  <c r="J51" i="6"/>
  <c r="I39" i="2" s="1"/>
  <c r="I54" i="2" s="1"/>
  <c r="L17" i="3"/>
  <c r="L8" i="3"/>
  <c r="I74" i="4"/>
  <c r="H44" i="2"/>
  <c r="K47" i="6"/>
  <c r="K45" i="6"/>
  <c r="K37" i="6"/>
  <c r="K50" i="6"/>
  <c r="K49" i="6"/>
  <c r="K39" i="6"/>
  <c r="K41" i="6"/>
  <c r="K48" i="6"/>
  <c r="K38" i="6"/>
  <c r="G58" i="2"/>
  <c r="G44" i="2"/>
  <c r="E23" i="2"/>
  <c r="L5" i="6"/>
  <c r="K8" i="2"/>
  <c r="K9" i="2"/>
  <c r="L6" i="6"/>
  <c r="K13" i="2"/>
  <c r="D58" i="2"/>
  <c r="K4" i="13"/>
  <c r="K11" i="3"/>
  <c r="K12" i="3" s="1"/>
  <c r="K10" i="3"/>
  <c r="K21" i="3"/>
  <c r="K33" i="3"/>
  <c r="L102" i="4"/>
  <c r="L104" i="4" s="1"/>
  <c r="L105" i="4"/>
  <c r="M101" i="4" s="1"/>
  <c r="J10" i="2"/>
  <c r="I43" i="2"/>
  <c r="M44" i="4" l="1"/>
  <c r="I32" i="3"/>
  <c r="K26" i="3"/>
  <c r="M27" i="7"/>
  <c r="M31" i="7" s="1"/>
  <c r="N30" i="7" s="1"/>
  <c r="L11" i="6"/>
  <c r="L7" i="6"/>
  <c r="K43" i="2" s="1"/>
  <c r="K14" i="2"/>
  <c r="L45" i="9"/>
  <c r="O52" i="9"/>
  <c r="P47" i="9"/>
  <c r="M30" i="4"/>
  <c r="G61" i="6"/>
  <c r="G13" i="8"/>
  <c r="G8" i="15"/>
  <c r="F21" i="2"/>
  <c r="K14" i="6"/>
  <c r="N15" i="6"/>
  <c r="N16" i="2"/>
  <c r="I28" i="6"/>
  <c r="K13" i="6"/>
  <c r="G57" i="2"/>
  <c r="G59" i="2" s="1"/>
  <c r="G42" i="2"/>
  <c r="G45" i="2" s="1"/>
  <c r="G47" i="2" s="1"/>
  <c r="R26" i="5"/>
  <c r="N28" i="9"/>
  <c r="M25" i="9"/>
  <c r="M30" i="9" s="1"/>
  <c r="M22" i="8" s="1"/>
  <c r="P9" i="8"/>
  <c r="P14" i="8"/>
  <c r="P26" i="8"/>
  <c r="Q3" i="8"/>
  <c r="P48" i="8"/>
  <c r="D61" i="6"/>
  <c r="C21" i="2"/>
  <c r="D13" i="8"/>
  <c r="D8" i="15"/>
  <c r="L45" i="6"/>
  <c r="L50" i="6"/>
  <c r="L39" i="6"/>
  <c r="L38" i="6"/>
  <c r="K38" i="2" s="1"/>
  <c r="K53" i="2" s="1"/>
  <c r="L49" i="6"/>
  <c r="L37" i="6"/>
  <c r="L47" i="6"/>
  <c r="L41" i="6"/>
  <c r="L48" i="6"/>
  <c r="D57" i="2"/>
  <c r="D35" i="2"/>
  <c r="D42" i="2"/>
  <c r="D45" i="2" s="1"/>
  <c r="D47" i="2" s="1"/>
  <c r="D51" i="2" s="1"/>
  <c r="K21" i="8"/>
  <c r="K42" i="8" s="1"/>
  <c r="K7" i="7"/>
  <c r="M8" i="3"/>
  <c r="M17" i="3"/>
  <c r="J28" i="6"/>
  <c r="E76" i="2"/>
  <c r="E12" i="2"/>
  <c r="F10" i="6" s="1"/>
  <c r="F17" i="6" s="1"/>
  <c r="E25" i="2"/>
  <c r="J72" i="4"/>
  <c r="J75" i="4"/>
  <c r="E35" i="2"/>
  <c r="E57" i="2"/>
  <c r="E59" i="2" s="1"/>
  <c r="E42" i="2"/>
  <c r="E45" i="2" s="1"/>
  <c r="E47" i="2" s="1"/>
  <c r="E51" i="2" s="1"/>
  <c r="I87" i="4"/>
  <c r="I90" i="4"/>
  <c r="I51" i="4"/>
  <c r="P4" i="6"/>
  <c r="N4" i="5"/>
  <c r="N4" i="3"/>
  <c r="K40" i="6"/>
  <c r="J43" i="2"/>
  <c r="J49" i="2"/>
  <c r="F35" i="5"/>
  <c r="F36" i="5" s="1"/>
  <c r="H54" i="4"/>
  <c r="F23" i="5" s="1"/>
  <c r="M34" i="6"/>
  <c r="L30" i="2" s="1"/>
  <c r="L11" i="13"/>
  <c r="K20" i="3"/>
  <c r="M105" i="4"/>
  <c r="N101" i="4" s="1"/>
  <c r="M102" i="4"/>
  <c r="M104" i="4" s="1"/>
  <c r="K10" i="2"/>
  <c r="G30" i="5"/>
  <c r="G31" i="5" s="1"/>
  <c r="L32" i="2"/>
  <c r="L22" i="17"/>
  <c r="M8" i="7"/>
  <c r="K42" i="6"/>
  <c r="K24" i="16"/>
  <c r="K11" i="16"/>
  <c r="K12" i="16" s="1"/>
  <c r="K21" i="16" s="1"/>
  <c r="J14" i="13"/>
  <c r="K13" i="13"/>
  <c r="O3" i="6"/>
  <c r="N33" i="6"/>
  <c r="N46" i="6"/>
  <c r="N32" i="6"/>
  <c r="O4" i="4"/>
  <c r="M3" i="5"/>
  <c r="M3" i="3"/>
  <c r="L16" i="16"/>
  <c r="L17" i="16" s="1"/>
  <c r="H29" i="3"/>
  <c r="H31" i="3"/>
  <c r="I24" i="2"/>
  <c r="J12" i="6" s="1"/>
  <c r="I34" i="3"/>
  <c r="I36" i="3" s="1"/>
  <c r="J23" i="6" s="1"/>
  <c r="F34" i="10"/>
  <c r="A35" i="10"/>
  <c r="E34" i="10"/>
  <c r="D35" i="10" s="1"/>
  <c r="C45" i="2"/>
  <c r="O10" i="8"/>
  <c r="O56" i="6"/>
  <c r="N33" i="2" s="1"/>
  <c r="J15" i="13"/>
  <c r="K51" i="6"/>
  <c r="J39" i="2" s="1"/>
  <c r="J54" i="2" s="1"/>
  <c r="L4" i="13"/>
  <c r="L10" i="3"/>
  <c r="L21" i="3"/>
  <c r="L33" i="3"/>
  <c r="L11" i="3"/>
  <c r="L12" i="3" s="1"/>
  <c r="M5" i="6"/>
  <c r="L8" i="2"/>
  <c r="L10" i="2" s="1"/>
  <c r="L9" i="2"/>
  <c r="I31" i="2"/>
  <c r="M38" i="9"/>
  <c r="M43" i="9" s="1"/>
  <c r="M16" i="16" s="1"/>
  <c r="M17" i="16" s="1"/>
  <c r="N41" i="9"/>
  <c r="C59" i="2"/>
  <c r="N14" i="9"/>
  <c r="M11" i="9"/>
  <c r="M16" i="9" s="1"/>
  <c r="M44" i="8" s="1"/>
  <c r="K65" i="2"/>
  <c r="K66" i="2" s="1"/>
  <c r="K28" i="6"/>
  <c r="I29" i="3"/>
  <c r="D12" i="2"/>
  <c r="E10" i="6" s="1"/>
  <c r="E17" i="6" s="1"/>
  <c r="D25" i="2"/>
  <c r="D76" i="2"/>
  <c r="N30" i="4"/>
  <c r="N8" i="4"/>
  <c r="N19" i="4"/>
  <c r="N29" i="4"/>
  <c r="N10" i="4"/>
  <c r="N12" i="4"/>
  <c r="N69" i="4"/>
  <c r="N28" i="4"/>
  <c r="N84" i="4"/>
  <c r="N99" i="4"/>
  <c r="N26" i="4"/>
  <c r="N27" i="4" s="1"/>
  <c r="N9" i="4"/>
  <c r="N14" i="4"/>
  <c r="N13" i="4"/>
  <c r="N43" i="4"/>
  <c r="N45" i="4" s="1"/>
  <c r="L21" i="8"/>
  <c r="L42" i="8" s="1"/>
  <c r="L7" i="7"/>
  <c r="N16" i="6"/>
  <c r="N17" i="2"/>
  <c r="P32" i="7"/>
  <c r="Q29" i="7" s="1"/>
  <c r="Q3" i="7"/>
  <c r="P12" i="7"/>
  <c r="O4" i="9"/>
  <c r="N20" i="9"/>
  <c r="N51" i="9"/>
  <c r="N57" i="9" s="1"/>
  <c r="O9" i="7" s="1"/>
  <c r="N22" i="9"/>
  <c r="N27" i="9" s="1"/>
  <c r="N9" i="9"/>
  <c r="N13" i="9" s="1"/>
  <c r="N21" i="9"/>
  <c r="N26" i="9" s="1"/>
  <c r="N7" i="9"/>
  <c r="N8" i="9"/>
  <c r="N12" i="9" s="1"/>
  <c r="M6" i="6"/>
  <c r="L13" i="2"/>
  <c r="M47" i="3"/>
  <c r="N4" i="2"/>
  <c r="M42" i="3"/>
  <c r="M43" i="3"/>
  <c r="M44" i="3" s="1"/>
  <c r="M38" i="3" s="1"/>
  <c r="M7" i="2"/>
  <c r="M6" i="2"/>
  <c r="N34" i="9"/>
  <c r="N36" i="9"/>
  <c r="N40" i="9" s="1"/>
  <c r="N35" i="9"/>
  <c r="N39" i="9" s="1"/>
  <c r="O33" i="9"/>
  <c r="J48" i="2"/>
  <c r="G12" i="2"/>
  <c r="H10" i="6" s="1"/>
  <c r="H17" i="6" s="1"/>
  <c r="G76" i="2"/>
  <c r="G25" i="2"/>
  <c r="M4" i="16"/>
  <c r="L63" i="2"/>
  <c r="M5" i="2"/>
  <c r="M7" i="15"/>
  <c r="L64" i="2"/>
  <c r="K27" i="5"/>
  <c r="L13" i="6"/>
  <c r="J38" i="2"/>
  <c r="K11" i="6"/>
  <c r="G66" i="6"/>
  <c r="G11" i="7"/>
  <c r="J31" i="3"/>
  <c r="N27" i="7" l="1"/>
  <c r="N31" i="7" s="1"/>
  <c r="O30" i="7" s="1"/>
  <c r="L26" i="3"/>
  <c r="N44" i="4"/>
  <c r="O46" i="6"/>
  <c r="P3" i="6"/>
  <c r="O32" i="6"/>
  <c r="O33" i="6"/>
  <c r="P4" i="4"/>
  <c r="N3" i="3"/>
  <c r="N3" i="5"/>
  <c r="F34" i="2"/>
  <c r="F35" i="2" s="1"/>
  <c r="F24" i="5"/>
  <c r="F50" i="2"/>
  <c r="F51" i="2" s="1"/>
  <c r="D67" i="6"/>
  <c r="D68" i="6" s="1"/>
  <c r="D64" i="6"/>
  <c r="D69" i="6" s="1"/>
  <c r="E6" i="4"/>
  <c r="C41" i="5"/>
  <c r="C37" i="17"/>
  <c r="C38" i="17" s="1"/>
  <c r="C42" i="17" s="1"/>
  <c r="C36" i="5"/>
  <c r="C31" i="5"/>
  <c r="C24" i="5"/>
  <c r="O14" i="9"/>
  <c r="N11" i="9"/>
  <c r="N16" i="9" s="1"/>
  <c r="N44" i="8" s="1"/>
  <c r="M45" i="9"/>
  <c r="N45" i="9" s="1"/>
  <c r="M4" i="13"/>
  <c r="M11" i="3"/>
  <c r="M33" i="3"/>
  <c r="M12" i="3"/>
  <c r="M21" i="3"/>
  <c r="M10" i="3"/>
  <c r="I89" i="4"/>
  <c r="I52" i="4"/>
  <c r="P46" i="1"/>
  <c r="D59" i="2"/>
  <c r="Q9" i="8"/>
  <c r="Q14" i="8"/>
  <c r="Q26" i="8"/>
  <c r="Q48" i="8"/>
  <c r="R3" i="8"/>
  <c r="P10" i="8"/>
  <c r="P56" i="6"/>
  <c r="O33" i="2" s="1"/>
  <c r="N4" i="16"/>
  <c r="N5" i="2"/>
  <c r="M63" i="2"/>
  <c r="N7" i="15"/>
  <c r="M64" i="2"/>
  <c r="P33" i="9"/>
  <c r="O36" i="9"/>
  <c r="O40" i="9" s="1"/>
  <c r="O35" i="9"/>
  <c r="O39" i="9" s="1"/>
  <c r="O34" i="9"/>
  <c r="N105" i="4"/>
  <c r="O101" i="4" s="1"/>
  <c r="N102" i="4"/>
  <c r="N104" i="4" s="1"/>
  <c r="L51" i="6"/>
  <c r="K39" i="2" s="1"/>
  <c r="I29" i="6"/>
  <c r="I58" i="6" s="1"/>
  <c r="I9" i="15" s="1"/>
  <c r="H29" i="2"/>
  <c r="G67" i="6"/>
  <c r="F37" i="17"/>
  <c r="F38" i="17" s="1"/>
  <c r="F42" i="17" s="1"/>
  <c r="H6" i="4"/>
  <c r="F41" i="5"/>
  <c r="G64" i="6"/>
  <c r="G69" i="6" s="1"/>
  <c r="F31" i="5"/>
  <c r="M63" i="6"/>
  <c r="K71" i="4"/>
  <c r="M8" i="2"/>
  <c r="M10" i="2"/>
  <c r="M9" i="2"/>
  <c r="N5" i="6"/>
  <c r="I58" i="2"/>
  <c r="I44" i="2"/>
  <c r="L65" i="2"/>
  <c r="E61" i="6"/>
  <c r="D21" i="2"/>
  <c r="E13" i="8"/>
  <c r="E8" i="15"/>
  <c r="M48" i="6"/>
  <c r="M38" i="6"/>
  <c r="L38" i="2" s="1"/>
  <c r="L53" i="2" s="1"/>
  <c r="M45" i="6"/>
  <c r="M41" i="6"/>
  <c r="M39" i="6"/>
  <c r="M47" i="6"/>
  <c r="M50" i="6"/>
  <c r="M37" i="6"/>
  <c r="M49" i="6"/>
  <c r="L49" i="2"/>
  <c r="I23" i="2"/>
  <c r="O9" i="4"/>
  <c r="O12" i="4"/>
  <c r="O8" i="4"/>
  <c r="O19" i="4"/>
  <c r="O38" i="4"/>
  <c r="O28" i="4"/>
  <c r="O34" i="4"/>
  <c r="O10" i="4"/>
  <c r="O20" i="4"/>
  <c r="O69" i="4"/>
  <c r="O35" i="4"/>
  <c r="O36" i="4"/>
  <c r="O37" i="4"/>
  <c r="O99" i="4"/>
  <c r="O29" i="4"/>
  <c r="O84" i="4"/>
  <c r="O26" i="4"/>
  <c r="O27" i="4" s="1"/>
  <c r="O14" i="4"/>
  <c r="O13" i="4"/>
  <c r="N53" i="6"/>
  <c r="L14" i="6"/>
  <c r="K19" i="3"/>
  <c r="K22" i="3" s="1"/>
  <c r="F61" i="6"/>
  <c r="F13" i="8"/>
  <c r="F8" i="15"/>
  <c r="E21" i="2"/>
  <c r="E35" i="10"/>
  <c r="D36" i="10" s="1"/>
  <c r="F35" i="10"/>
  <c r="A36" i="10"/>
  <c r="J74" i="4"/>
  <c r="N6" i="6"/>
  <c r="M13" i="2"/>
  <c r="J31" i="2"/>
  <c r="J86" i="4"/>
  <c r="I55" i="4"/>
  <c r="H28" i="16" s="1"/>
  <c r="M7" i="6"/>
  <c r="M13" i="6" s="1"/>
  <c r="L14" i="2"/>
  <c r="M11" i="6" s="1"/>
  <c r="L40" i="6"/>
  <c r="K49" i="2"/>
  <c r="J24" i="2"/>
  <c r="K12" i="6" s="1"/>
  <c r="J34" i="3"/>
  <c r="J36" i="3" s="1"/>
  <c r="K23" i="6" s="1"/>
  <c r="K29" i="6" s="1"/>
  <c r="K58" i="6" s="1"/>
  <c r="K9" i="15" s="1"/>
  <c r="J29" i="3"/>
  <c r="J27" i="3"/>
  <c r="O28" i="9"/>
  <c r="N25" i="9"/>
  <c r="N30" i="9" s="1"/>
  <c r="N22" i="8" s="1"/>
  <c r="O16" i="6"/>
  <c r="O17" i="2"/>
  <c r="C47" i="2"/>
  <c r="L11" i="16"/>
  <c r="L12" i="16" s="1"/>
  <c r="L21" i="16" s="1"/>
  <c r="L24" i="16"/>
  <c r="K14" i="13"/>
  <c r="K15" i="13" s="1"/>
  <c r="L13" i="13"/>
  <c r="N17" i="3"/>
  <c r="N8" i="3"/>
  <c r="O15" i="6"/>
  <c r="O16" i="2"/>
  <c r="K48" i="2"/>
  <c r="Q4" i="6"/>
  <c r="O4" i="3"/>
  <c r="O4" i="5"/>
  <c r="G68" i="6"/>
  <c r="G10" i="7"/>
  <c r="H61" i="6"/>
  <c r="H8" i="15"/>
  <c r="H13" i="8"/>
  <c r="G21" i="2"/>
  <c r="N43" i="3"/>
  <c r="N42" i="3"/>
  <c r="N47" i="3"/>
  <c r="O4" i="2"/>
  <c r="N7" i="2"/>
  <c r="N6" i="2"/>
  <c r="L66" i="2"/>
  <c r="L20" i="3"/>
  <c r="Q12" i="7"/>
  <c r="R3" i="7"/>
  <c r="Q32" i="7"/>
  <c r="R29" i="7" s="1"/>
  <c r="J53" i="2"/>
  <c r="N38" i="9"/>
  <c r="N43" i="9" s="1"/>
  <c r="N63" i="6" s="1"/>
  <c r="O41" i="9"/>
  <c r="N16" i="16"/>
  <c r="N17" i="16" s="1"/>
  <c r="O7" i="9"/>
  <c r="O51" i="9"/>
  <c r="O57" i="9" s="1"/>
  <c r="P9" i="7" s="1"/>
  <c r="O22" i="9"/>
  <c r="O27" i="9" s="1"/>
  <c r="O9" i="9"/>
  <c r="O13" i="9" s="1"/>
  <c r="O21" i="9"/>
  <c r="O26" i="9" s="1"/>
  <c r="P4" i="9"/>
  <c r="O8" i="9"/>
  <c r="O12" i="9" s="1"/>
  <c r="O20" i="9"/>
  <c r="J29" i="2"/>
  <c r="H24" i="2"/>
  <c r="I12" i="6" s="1"/>
  <c r="H34" i="3"/>
  <c r="H36" i="3" s="1"/>
  <c r="I23" i="6" s="1"/>
  <c r="H27" i="3"/>
  <c r="H32" i="3" s="1"/>
  <c r="H58" i="2"/>
  <c r="N34" i="6"/>
  <c r="M30" i="2" s="1"/>
  <c r="M11" i="13"/>
  <c r="J29" i="6"/>
  <c r="J58" i="6" s="1"/>
  <c r="J9" i="15" s="1"/>
  <c r="I29" i="2"/>
  <c r="L42" i="6"/>
  <c r="S26" i="5"/>
  <c r="Q47" i="9"/>
  <c r="P52" i="9"/>
  <c r="O27" i="7" l="1"/>
  <c r="O31" i="7" s="1"/>
  <c r="P30" i="7" s="1"/>
  <c r="C51" i="2"/>
  <c r="N44" i="3"/>
  <c r="N38" i="3" s="1"/>
  <c r="G18" i="8"/>
  <c r="G6" i="7"/>
  <c r="G71" i="6"/>
  <c r="G60" i="8" s="1"/>
  <c r="G72" i="6"/>
  <c r="T26" i="5"/>
  <c r="O30" i="4"/>
  <c r="M42" i="6"/>
  <c r="S3" i="8"/>
  <c r="R9" i="8"/>
  <c r="R14" i="8"/>
  <c r="R48" i="8"/>
  <c r="R26" i="8"/>
  <c r="E16" i="4"/>
  <c r="K28" i="3"/>
  <c r="L25" i="6"/>
  <c r="L26" i="6"/>
  <c r="L27" i="6"/>
  <c r="O105" i="4"/>
  <c r="P101" i="4" s="1"/>
  <c r="O102" i="4"/>
  <c r="O104" i="4" s="1"/>
  <c r="Q10" i="8"/>
  <c r="Q56" i="6"/>
  <c r="P33" i="2" s="1"/>
  <c r="D6" i="7"/>
  <c r="D71" i="6"/>
  <c r="D60" i="8" s="1"/>
  <c r="D18" i="8"/>
  <c r="I42" i="2"/>
  <c r="I45" i="2" s="1"/>
  <c r="I47" i="2" s="1"/>
  <c r="I57" i="2"/>
  <c r="I59" i="2" s="1"/>
  <c r="M14" i="6"/>
  <c r="L19" i="3"/>
  <c r="L22" i="3" s="1"/>
  <c r="N21" i="8"/>
  <c r="N42" i="8" s="1"/>
  <c r="N7" i="7"/>
  <c r="H67" i="6"/>
  <c r="I6" i="4"/>
  <c r="G37" i="17"/>
  <c r="G38" i="17" s="1"/>
  <c r="G42" i="17" s="1"/>
  <c r="G41" i="5"/>
  <c r="H64" i="6"/>
  <c r="M32" i="2"/>
  <c r="M22" i="17"/>
  <c r="N8" i="7"/>
  <c r="M65" i="2"/>
  <c r="J42" i="2"/>
  <c r="J45" i="2" s="1"/>
  <c r="J47" i="2" s="1"/>
  <c r="J57" i="2"/>
  <c r="M40" i="6"/>
  <c r="L43" i="2"/>
  <c r="L48" i="2"/>
  <c r="N7" i="6"/>
  <c r="M43" i="2" s="1"/>
  <c r="M14" i="2"/>
  <c r="N11" i="6" s="1"/>
  <c r="O8" i="3"/>
  <c r="O17" i="3"/>
  <c r="J23" i="2"/>
  <c r="F67" i="6"/>
  <c r="F68" i="6" s="1"/>
  <c r="G6" i="4"/>
  <c r="E37" i="17"/>
  <c r="E38" i="17" s="1"/>
  <c r="E42" i="17" s="1"/>
  <c r="E41" i="5"/>
  <c r="F64" i="6"/>
  <c r="F69" i="6" s="1"/>
  <c r="E31" i="5"/>
  <c r="E36" i="5"/>
  <c r="E24" i="5"/>
  <c r="P35" i="9"/>
  <c r="P39" i="9" s="1"/>
  <c r="P34" i="9"/>
  <c r="P36" i="9"/>
  <c r="P40" i="9" s="1"/>
  <c r="Q33" i="9"/>
  <c r="N12" i="3"/>
  <c r="N4" i="13"/>
  <c r="N11" i="3"/>
  <c r="N10" i="3"/>
  <c r="N21" i="3"/>
  <c r="N33" i="3"/>
  <c r="K31" i="2"/>
  <c r="J90" i="4"/>
  <c r="J87" i="4"/>
  <c r="J51" i="4"/>
  <c r="H16" i="4"/>
  <c r="S3" i="7"/>
  <c r="R12" i="7"/>
  <c r="R32" i="7"/>
  <c r="S29" i="7" s="1"/>
  <c r="J44" i="2"/>
  <c r="J58" i="2"/>
  <c r="M20" i="3"/>
  <c r="K72" i="4"/>
  <c r="K75" i="4"/>
  <c r="P15" i="6"/>
  <c r="P16" i="2"/>
  <c r="J32" i="3"/>
  <c r="F6" i="4"/>
  <c r="E67" i="6"/>
  <c r="E68" i="6" s="1"/>
  <c r="D37" i="17"/>
  <c r="D38" i="17" s="1"/>
  <c r="D42" i="17" s="1"/>
  <c r="D41" i="5"/>
  <c r="E64" i="6"/>
  <c r="D31" i="5"/>
  <c r="D24" i="5"/>
  <c r="D36" i="5"/>
  <c r="N39" i="6"/>
  <c r="N37" i="6"/>
  <c r="N48" i="6"/>
  <c r="N50" i="6"/>
  <c r="N45" i="6"/>
  <c r="N49" i="6"/>
  <c r="N47" i="6"/>
  <c r="N41" i="6"/>
  <c r="N38" i="6"/>
  <c r="L27" i="5"/>
  <c r="O4" i="16"/>
  <c r="O5" i="2"/>
  <c r="O7" i="15"/>
  <c r="N63" i="2"/>
  <c r="N64" i="2"/>
  <c r="P28" i="4"/>
  <c r="P34" i="4"/>
  <c r="P35" i="4" s="1"/>
  <c r="P20" i="4"/>
  <c r="P36" i="4"/>
  <c r="P12" i="4"/>
  <c r="P26" i="4"/>
  <c r="P27" i="4" s="1"/>
  <c r="P10" i="4"/>
  <c r="P37" i="4"/>
  <c r="P84" i="4"/>
  <c r="P8" i="4"/>
  <c r="P9" i="4"/>
  <c r="P99" i="4"/>
  <c r="P19" i="4"/>
  <c r="P29" i="4"/>
  <c r="P69" i="4"/>
  <c r="P38" i="4"/>
  <c r="P14" i="4"/>
  <c r="P13" i="4"/>
  <c r="Q52" i="9"/>
  <c r="R47" i="9"/>
  <c r="O5" i="6"/>
  <c r="N8" i="2"/>
  <c r="N9" i="2"/>
  <c r="N10" i="2"/>
  <c r="G35" i="5"/>
  <c r="G36" i="5" s="1"/>
  <c r="I54" i="4"/>
  <c r="G23" i="5" s="1"/>
  <c r="O6" i="6"/>
  <c r="N13" i="2"/>
  <c r="F36" i="10"/>
  <c r="E36" i="10"/>
  <c r="D37" i="10" s="1"/>
  <c r="A37" i="10"/>
  <c r="K54" i="2"/>
  <c r="M26" i="3"/>
  <c r="P14" i="9"/>
  <c r="O11" i="9"/>
  <c r="O16" i="9" s="1"/>
  <c r="O44" i="8" s="1"/>
  <c r="O43" i="3"/>
  <c r="O44" i="3" s="1"/>
  <c r="O38" i="3" s="1"/>
  <c r="P4" i="2"/>
  <c r="O47" i="3"/>
  <c r="O42" i="3"/>
  <c r="O7" i="2"/>
  <c r="O6" i="2"/>
  <c r="P16" i="6"/>
  <c r="P17" i="2"/>
  <c r="O53" i="6"/>
  <c r="P28" i="9"/>
  <c r="O25" i="9"/>
  <c r="O30" i="9" s="1"/>
  <c r="O22" i="8" s="1"/>
  <c r="P4" i="5"/>
  <c r="P4" i="3"/>
  <c r="R4" i="6"/>
  <c r="M24" i="16"/>
  <c r="M11" i="16"/>
  <c r="M12" i="16" s="1"/>
  <c r="M21" i="16" s="1"/>
  <c r="L14" i="13"/>
  <c r="L15" i="13" s="1"/>
  <c r="M13" i="13"/>
  <c r="M66" i="2"/>
  <c r="H23" i="2"/>
  <c r="P8" i="9"/>
  <c r="P12" i="9" s="1"/>
  <c r="Q4" i="9"/>
  <c r="P20" i="9"/>
  <c r="P7" i="9"/>
  <c r="P9" i="9"/>
  <c r="P13" i="9" s="1"/>
  <c r="P21" i="9"/>
  <c r="P26" i="9" s="1"/>
  <c r="P51" i="9"/>
  <c r="P57" i="9" s="1"/>
  <c r="Q9" i="7" s="1"/>
  <c r="P22" i="9"/>
  <c r="P27" i="9" s="1"/>
  <c r="H30" i="5"/>
  <c r="H31" i="5" s="1"/>
  <c r="I76" i="2"/>
  <c r="I12" i="2"/>
  <c r="J10" i="6" s="1"/>
  <c r="J17" i="6" s="1"/>
  <c r="I25" i="2"/>
  <c r="M51" i="6"/>
  <c r="L39" i="2" s="1"/>
  <c r="L54" i="2" s="1"/>
  <c r="M21" i="8"/>
  <c r="M42" i="8" s="1"/>
  <c r="M7" i="7"/>
  <c r="H57" i="2"/>
  <c r="H42" i="2"/>
  <c r="P41" i="9"/>
  <c r="O38" i="9"/>
  <c r="O43" i="9" s="1"/>
  <c r="H11" i="7"/>
  <c r="H66" i="6"/>
  <c r="O34" i="6"/>
  <c r="N30" i="2" s="1"/>
  <c r="N11" i="13"/>
  <c r="P32" i="6"/>
  <c r="P46" i="6"/>
  <c r="P33" i="6"/>
  <c r="P53" i="6"/>
  <c r="Q3" i="6"/>
  <c r="Q4" i="4"/>
  <c r="O3" i="3"/>
  <c r="O3" i="5"/>
  <c r="O11" i="6" l="1"/>
  <c r="P27" i="7"/>
  <c r="P31" i="7" s="1"/>
  <c r="Q30" i="7" s="1"/>
  <c r="O63" i="6"/>
  <c r="Q21" i="9"/>
  <c r="Q26" i="9" s="1"/>
  <c r="R4" i="9"/>
  <c r="Q20" i="9"/>
  <c r="Q7" i="9"/>
  <c r="Q22" i="9"/>
  <c r="Q27" i="9" s="1"/>
  <c r="Q51" i="9"/>
  <c r="Q57" i="9" s="1"/>
  <c r="R9" i="7" s="1"/>
  <c r="Q9" i="9"/>
  <c r="Q13" i="9" s="1"/>
  <c r="Q8" i="9"/>
  <c r="Q12" i="9" s="1"/>
  <c r="P42" i="3"/>
  <c r="Q4" i="2"/>
  <c r="P47" i="3"/>
  <c r="P43" i="3"/>
  <c r="P7" i="2"/>
  <c r="P6" i="2"/>
  <c r="S48" i="8"/>
  <c r="T3" i="8"/>
  <c r="S9" i="8"/>
  <c r="S52" i="8"/>
  <c r="S26" i="8"/>
  <c r="S14" i="8"/>
  <c r="S32" i="8"/>
  <c r="P6" i="6"/>
  <c r="O13" i="2"/>
  <c r="K58" i="2"/>
  <c r="K44" i="2"/>
  <c r="N26" i="3"/>
  <c r="D20" i="7"/>
  <c r="D13" i="7"/>
  <c r="O45" i="9"/>
  <c r="O21" i="3"/>
  <c r="O33" i="3"/>
  <c r="O4" i="13"/>
  <c r="O11" i="3"/>
  <c r="O12" i="3" s="1"/>
  <c r="O10" i="3"/>
  <c r="R52" i="9"/>
  <c r="S47" i="9"/>
  <c r="K86" i="4"/>
  <c r="J55" i="4"/>
  <c r="I28" i="16" s="1"/>
  <c r="O22" i="17"/>
  <c r="O32" i="2"/>
  <c r="P8" i="7"/>
  <c r="L71" i="4"/>
  <c r="P34" i="6"/>
  <c r="O30" i="2" s="1"/>
  <c r="O11" i="13"/>
  <c r="H76" i="2"/>
  <c r="H12" i="2"/>
  <c r="I10" i="6" s="1"/>
  <c r="I17" i="6" s="1"/>
  <c r="H25" i="2"/>
  <c r="G24" i="5"/>
  <c r="G34" i="2"/>
  <c r="G35" i="2" s="1"/>
  <c r="G50" i="2"/>
  <c r="G51" i="2" s="1"/>
  <c r="Q37" i="4"/>
  <c r="Q9" i="4"/>
  <c r="Q20" i="4"/>
  <c r="Q36" i="4"/>
  <c r="Q8" i="4"/>
  <c r="Q29" i="4"/>
  <c r="Q35" i="4"/>
  <c r="Q10" i="4"/>
  <c r="Q28" i="4"/>
  <c r="Q34" i="4"/>
  <c r="Q38" i="4"/>
  <c r="Q26" i="4"/>
  <c r="Q27" i="4" s="1"/>
  <c r="Q19" i="4"/>
  <c r="Q99" i="4"/>
  <c r="Q84" i="4"/>
  <c r="Q69" i="4"/>
  <c r="Q12" i="4"/>
  <c r="Q13" i="4"/>
  <c r="Q14" i="4"/>
  <c r="H45" i="2"/>
  <c r="N11" i="16"/>
  <c r="N12" i="16" s="1"/>
  <c r="N21" i="16" s="1"/>
  <c r="N24" i="16"/>
  <c r="M14" i="13"/>
  <c r="M15" i="13" s="1"/>
  <c r="N13" i="13"/>
  <c r="M27" i="5"/>
  <c r="P38" i="9"/>
  <c r="P43" i="9" s="1"/>
  <c r="P63" i="6" s="1"/>
  <c r="Q41" i="9"/>
  <c r="G16" i="4"/>
  <c r="G20" i="7"/>
  <c r="G13" i="7"/>
  <c r="N32" i="2"/>
  <c r="N22" i="17"/>
  <c r="O8" i="7"/>
  <c r="F37" i="10"/>
  <c r="E37" i="10"/>
  <c r="D38" i="10" s="1"/>
  <c r="A38" i="10"/>
  <c r="P30" i="4"/>
  <c r="N14" i="6"/>
  <c r="M19" i="3"/>
  <c r="M22" i="3" s="1"/>
  <c r="H60" i="4"/>
  <c r="E60" i="4"/>
  <c r="R10" i="8"/>
  <c r="R56" i="6"/>
  <c r="Q33" i="2" s="1"/>
  <c r="G41" i="8"/>
  <c r="G43" i="8" s="1"/>
  <c r="G20" i="8"/>
  <c r="G23" i="8" s="1"/>
  <c r="G25" i="8" s="1"/>
  <c r="G27" i="8" s="1"/>
  <c r="S4" i="6"/>
  <c r="Q4" i="3"/>
  <c r="Q4" i="5"/>
  <c r="F74" i="6"/>
  <c r="C74" i="6" s="1"/>
  <c r="F6" i="7"/>
  <c r="F18" i="8"/>
  <c r="F71" i="6"/>
  <c r="F60" i="8" s="1"/>
  <c r="M38" i="2"/>
  <c r="L28" i="3"/>
  <c r="M25" i="6"/>
  <c r="M27" i="6"/>
  <c r="M26" i="6"/>
  <c r="D72" i="6"/>
  <c r="L31" i="2"/>
  <c r="N13" i="6"/>
  <c r="N65" i="2"/>
  <c r="N66" i="2" s="1"/>
  <c r="H68" i="6"/>
  <c r="H69" i="6" s="1"/>
  <c r="H10" i="7"/>
  <c r="O7" i="6"/>
  <c r="O40" i="6" s="1"/>
  <c r="N14" i="2"/>
  <c r="P4" i="16"/>
  <c r="P5" i="2"/>
  <c r="O63" i="2"/>
  <c r="P7" i="15"/>
  <c r="O64" i="2"/>
  <c r="E69" i="6"/>
  <c r="J76" i="2"/>
  <c r="J12" i="2"/>
  <c r="K10" i="6" s="1"/>
  <c r="K17" i="6" s="1"/>
  <c r="J25" i="2"/>
  <c r="I16" i="4"/>
  <c r="I20" i="4" s="1"/>
  <c r="P102" i="4"/>
  <c r="P104" i="4" s="1"/>
  <c r="P105" i="4"/>
  <c r="Q101" i="4" s="1"/>
  <c r="N20" i="3"/>
  <c r="P5" i="6"/>
  <c r="O8" i="2"/>
  <c r="O9" i="2"/>
  <c r="O10" i="2"/>
  <c r="O16" i="16"/>
  <c r="O17" i="16" s="1"/>
  <c r="U26" i="5"/>
  <c r="P8" i="3"/>
  <c r="P17" i="3"/>
  <c r="N27" i="5"/>
  <c r="O13" i="6"/>
  <c r="J61" i="6"/>
  <c r="J8" i="15"/>
  <c r="J13" i="8"/>
  <c r="I21" i="2"/>
  <c r="F60" i="4"/>
  <c r="F16" i="4"/>
  <c r="R33" i="9"/>
  <c r="Q36" i="9"/>
  <c r="Q40" i="9" s="1"/>
  <c r="Q34" i="9"/>
  <c r="Q35" i="9"/>
  <c r="Q39" i="9" s="1"/>
  <c r="N40" i="6"/>
  <c r="N42" i="6" s="1"/>
  <c r="M31" i="2" s="1"/>
  <c r="M49" i="2"/>
  <c r="L28" i="6"/>
  <c r="G10" i="15"/>
  <c r="K74" i="4"/>
  <c r="S32" i="7"/>
  <c r="T29" i="7" s="1"/>
  <c r="T3" i="7"/>
  <c r="S12" i="7"/>
  <c r="K31" i="3"/>
  <c r="K29" i="3" s="1"/>
  <c r="H59" i="2"/>
  <c r="Q14" i="9"/>
  <c r="P11" i="9"/>
  <c r="P16" i="9" s="1"/>
  <c r="P44" i="8" s="1"/>
  <c r="Q16" i="6"/>
  <c r="Q17" i="2"/>
  <c r="N51" i="6"/>
  <c r="M39" i="2" s="1"/>
  <c r="M54" i="2" s="1"/>
  <c r="Q53" i="6"/>
  <c r="R3" i="6"/>
  <c r="Q46" i="6"/>
  <c r="R4" i="4"/>
  <c r="Q32" i="6"/>
  <c r="Q33" i="6"/>
  <c r="P3" i="5"/>
  <c r="P3" i="3"/>
  <c r="Q28" i="9"/>
  <c r="P25" i="9"/>
  <c r="P30" i="9" s="1"/>
  <c r="P22" i="8" s="1"/>
  <c r="O49" i="6"/>
  <c r="O38" i="6"/>
  <c r="O39" i="6"/>
  <c r="O41" i="6"/>
  <c r="O50" i="6"/>
  <c r="O37" i="6"/>
  <c r="O45" i="6"/>
  <c r="O48" i="6"/>
  <c r="O47" i="6"/>
  <c r="Q15" i="6"/>
  <c r="Q16" i="2"/>
  <c r="J89" i="4"/>
  <c r="J52" i="4"/>
  <c r="O20" i="3"/>
  <c r="J59" i="2"/>
  <c r="M48" i="2"/>
  <c r="D20" i="8"/>
  <c r="D23" i="8" s="1"/>
  <c r="D25" i="8" s="1"/>
  <c r="D27" i="8" s="1"/>
  <c r="D41" i="8"/>
  <c r="D43" i="8" s="1"/>
  <c r="M44" i="2" l="1"/>
  <c r="N15" i="13"/>
  <c r="O26" i="3"/>
  <c r="P25" i="6"/>
  <c r="P26" i="6"/>
  <c r="H18" i="8"/>
  <c r="H6" i="7"/>
  <c r="H71" i="6"/>
  <c r="H60" i="8" s="1"/>
  <c r="R30" i="7"/>
  <c r="Q27" i="7"/>
  <c r="Q31" i="7" s="1"/>
  <c r="V26" i="5"/>
  <c r="H105" i="1"/>
  <c r="G105" i="1"/>
  <c r="F38" i="10"/>
  <c r="A39" i="10"/>
  <c r="E38" i="10"/>
  <c r="D39" i="10" s="1"/>
  <c r="K6" i="4"/>
  <c r="J67" i="6"/>
  <c r="I37" i="17"/>
  <c r="I38" i="17" s="1"/>
  <c r="I42" i="17" s="1"/>
  <c r="I41" i="5"/>
  <c r="J64" i="6"/>
  <c r="O65" i="2"/>
  <c r="D35" i="8"/>
  <c r="D37" i="8" s="1"/>
  <c r="D30" i="8"/>
  <c r="D32" i="8"/>
  <c r="L31" i="3"/>
  <c r="Q34" i="6"/>
  <c r="P30" i="2" s="1"/>
  <c r="P11" i="13"/>
  <c r="Q8" i="3"/>
  <c r="Q17" i="3"/>
  <c r="L75" i="4"/>
  <c r="L72" i="4"/>
  <c r="S52" i="9"/>
  <c r="T47" i="9"/>
  <c r="O51" i="6"/>
  <c r="N39" i="2" s="1"/>
  <c r="N54" i="2" s="1"/>
  <c r="P7" i="6"/>
  <c r="O14" i="2"/>
  <c r="K61" i="6"/>
  <c r="K8" i="15"/>
  <c r="K13" i="8"/>
  <c r="J21" i="2"/>
  <c r="L44" i="2"/>
  <c r="L58" i="2"/>
  <c r="F72" i="6"/>
  <c r="T4" i="6"/>
  <c r="R4" i="3"/>
  <c r="R4" i="5"/>
  <c r="P21" i="8"/>
  <c r="P42" i="8" s="1"/>
  <c r="P7" i="7"/>
  <c r="S10" i="8"/>
  <c r="S56" i="6"/>
  <c r="R33" i="2" s="1"/>
  <c r="P44" i="3"/>
  <c r="P38" i="3" s="1"/>
  <c r="P16" i="16"/>
  <c r="P17" i="16" s="1"/>
  <c r="Q102" i="4"/>
  <c r="Q104" i="4" s="1"/>
  <c r="Q105" i="4"/>
  <c r="R101" i="4" s="1"/>
  <c r="F20" i="7"/>
  <c r="F13" i="7"/>
  <c r="F15" i="5"/>
  <c r="F7" i="5"/>
  <c r="R14" i="9"/>
  <c r="Q11" i="9"/>
  <c r="Q16" i="9" s="1"/>
  <c r="Q44" i="8" s="1"/>
  <c r="N38" i="2"/>
  <c r="N53" i="2" s="1"/>
  <c r="R33" i="6"/>
  <c r="R32" i="6"/>
  <c r="R46" i="6"/>
  <c r="S4" i="4"/>
  <c r="S3" i="6"/>
  <c r="Q3" i="3"/>
  <c r="Q3" i="5"/>
  <c r="I37" i="4"/>
  <c r="I60" i="4"/>
  <c r="G60" i="4"/>
  <c r="Q5" i="6"/>
  <c r="P8" i="2"/>
  <c r="P9" i="2"/>
  <c r="R9" i="9"/>
  <c r="R13" i="9" s="1"/>
  <c r="R8" i="9"/>
  <c r="R12" i="9" s="1"/>
  <c r="R7" i="9"/>
  <c r="R22" i="9"/>
  <c r="R27" i="9" s="1"/>
  <c r="R20" i="9"/>
  <c r="R51" i="9"/>
  <c r="R57" i="9" s="1"/>
  <c r="S9" i="7" s="1"/>
  <c r="S4" i="9"/>
  <c r="R21" i="9"/>
  <c r="R26" i="9" s="1"/>
  <c r="P22" i="17"/>
  <c r="P32" i="2"/>
  <c r="Q8" i="7"/>
  <c r="R16" i="6"/>
  <c r="R17" i="2"/>
  <c r="R34" i="9"/>
  <c r="S33" i="9"/>
  <c r="R36" i="9"/>
  <c r="R40" i="9" s="1"/>
  <c r="R35" i="9"/>
  <c r="R39" i="9" s="1"/>
  <c r="Q6" i="6"/>
  <c r="P13" i="2"/>
  <c r="O42" i="6"/>
  <c r="N31" i="2" s="1"/>
  <c r="R10" i="4"/>
  <c r="R26" i="4"/>
  <c r="R27" i="4" s="1"/>
  <c r="R28" i="4"/>
  <c r="R34" i="4"/>
  <c r="R9" i="4"/>
  <c r="R12" i="4"/>
  <c r="R19" i="4"/>
  <c r="R38" i="4"/>
  <c r="R37" i="4"/>
  <c r="R84" i="4"/>
  <c r="R99" i="4"/>
  <c r="R8" i="4"/>
  <c r="R69" i="4"/>
  <c r="R29" i="4"/>
  <c r="R36" i="4"/>
  <c r="R20" i="4"/>
  <c r="R14" i="4"/>
  <c r="R13" i="4"/>
  <c r="R35" i="4" s="1"/>
  <c r="U3" i="7"/>
  <c r="T12" i="7"/>
  <c r="T32" i="7"/>
  <c r="U29" i="7" s="1"/>
  <c r="L29" i="6"/>
  <c r="L58" i="6" s="1"/>
  <c r="L9" i="15" s="1"/>
  <c r="K29" i="2"/>
  <c r="P20" i="3"/>
  <c r="P47" i="6"/>
  <c r="P39" i="6"/>
  <c r="P45" i="6"/>
  <c r="P50" i="6"/>
  <c r="P49" i="6"/>
  <c r="P48" i="6"/>
  <c r="P41" i="6"/>
  <c r="P38" i="6"/>
  <c r="P37" i="6"/>
  <c r="D10" i="15"/>
  <c r="G35" i="8"/>
  <c r="G37" i="8" s="1"/>
  <c r="G32" i="8"/>
  <c r="G30" i="8"/>
  <c r="M28" i="3"/>
  <c r="N25" i="6"/>
  <c r="N26" i="6"/>
  <c r="N27" i="6"/>
  <c r="N48" i="2"/>
  <c r="N49" i="2"/>
  <c r="Q30" i="4"/>
  <c r="N43" i="2"/>
  <c r="H35" i="5"/>
  <c r="J54" i="4"/>
  <c r="H23" i="5" s="1"/>
  <c r="O66" i="2"/>
  <c r="O24" i="16"/>
  <c r="O11" i="16"/>
  <c r="O12" i="16" s="1"/>
  <c r="O21" i="16" s="1"/>
  <c r="O13" i="13"/>
  <c r="N14" i="13"/>
  <c r="T48" i="8"/>
  <c r="U3" i="8"/>
  <c r="T32" i="8"/>
  <c r="T9" i="8"/>
  <c r="T26" i="8"/>
  <c r="T52" i="8"/>
  <c r="T14" i="8"/>
  <c r="O21" i="8"/>
  <c r="O42" i="8" s="1"/>
  <c r="O7" i="7"/>
  <c r="R15" i="6"/>
  <c r="R16" i="2"/>
  <c r="I30" i="5"/>
  <c r="I31" i="5" s="1"/>
  <c r="Q38" i="9"/>
  <c r="Q43" i="9" s="1"/>
  <c r="R41" i="9"/>
  <c r="M28" i="6"/>
  <c r="C15" i="5"/>
  <c r="C7" i="5"/>
  <c r="R28" i="9"/>
  <c r="Q25" i="9"/>
  <c r="Q30" i="9" s="1"/>
  <c r="Q22" i="8" s="1"/>
  <c r="K24" i="2"/>
  <c r="L12" i="6" s="1"/>
  <c r="K23" i="2"/>
  <c r="K34" i="3"/>
  <c r="K36" i="3" s="1"/>
  <c r="L23" i="6" s="1"/>
  <c r="K27" i="3"/>
  <c r="K32" i="3" s="1"/>
  <c r="Q4" i="16"/>
  <c r="Q5" i="2"/>
  <c r="P64" i="2"/>
  <c r="P63" i="2"/>
  <c r="P65" i="2" s="1"/>
  <c r="Q7" i="15"/>
  <c r="K90" i="4"/>
  <c r="K87" i="4"/>
  <c r="K51" i="4"/>
  <c r="Q43" i="3"/>
  <c r="Q47" i="3"/>
  <c r="Q42" i="3"/>
  <c r="R4" i="2"/>
  <c r="Q7" i="2"/>
  <c r="Q6" i="2"/>
  <c r="M53" i="2"/>
  <c r="I66" i="6"/>
  <c r="I11" i="7"/>
  <c r="P10" i="3"/>
  <c r="P21" i="3"/>
  <c r="P33" i="3"/>
  <c r="P11" i="3"/>
  <c r="P12" i="3" s="1"/>
  <c r="P4" i="13"/>
  <c r="O14" i="6"/>
  <c r="N19" i="3"/>
  <c r="N22" i="3" s="1"/>
  <c r="E6" i="7"/>
  <c r="E18" i="8"/>
  <c r="E71" i="6"/>
  <c r="F41" i="8"/>
  <c r="F43" i="8" s="1"/>
  <c r="F20" i="8"/>
  <c r="F23" i="8" s="1"/>
  <c r="F25" i="8" s="1"/>
  <c r="F27" i="8" s="1"/>
  <c r="H47" i="2"/>
  <c r="I61" i="6"/>
  <c r="I8" i="15"/>
  <c r="I13" i="8"/>
  <c r="H21" i="2"/>
  <c r="O19" i="3"/>
  <c r="O22" i="3" s="1"/>
  <c r="O28" i="3" s="1"/>
  <c r="P45" i="9"/>
  <c r="P26" i="3" l="1"/>
  <c r="Q27" i="6"/>
  <c r="Q26" i="6"/>
  <c r="Q25" i="6"/>
  <c r="Q28" i="6" s="1"/>
  <c r="E60" i="8"/>
  <c r="P65" i="1"/>
  <c r="S34" i="9"/>
  <c r="S35" i="9"/>
  <c r="S39" i="9" s="1"/>
  <c r="S36" i="9"/>
  <c r="S40" i="9" s="1"/>
  <c r="T33" i="9"/>
  <c r="I58" i="4"/>
  <c r="I62" i="4" s="1"/>
  <c r="F75" i="6"/>
  <c r="C75" i="6" s="1"/>
  <c r="F10" i="15"/>
  <c r="P40" i="6"/>
  <c r="O48" i="2"/>
  <c r="O49" i="2"/>
  <c r="E20" i="8"/>
  <c r="E23" i="8" s="1"/>
  <c r="E25" i="8" s="1"/>
  <c r="E27" i="8" s="1"/>
  <c r="E41" i="8"/>
  <c r="E43" i="8" s="1"/>
  <c r="S28" i="9"/>
  <c r="R25" i="9"/>
  <c r="R30" i="9" s="1"/>
  <c r="R22" i="8" s="1"/>
  <c r="Q4" i="13"/>
  <c r="Q10" i="3"/>
  <c r="Q33" i="3"/>
  <c r="Q11" i="3"/>
  <c r="Q12" i="3" s="1"/>
  <c r="Q21" i="3"/>
  <c r="E20" i="7"/>
  <c r="E13" i="7"/>
  <c r="R5" i="6"/>
  <c r="Q9" i="2"/>
  <c r="Q8" i="2"/>
  <c r="H36" i="5"/>
  <c r="H51" i="2"/>
  <c r="R6" i="6"/>
  <c r="Q13" i="2"/>
  <c r="E7" i="5"/>
  <c r="E15" i="5"/>
  <c r="L23" i="2"/>
  <c r="L24" i="2"/>
  <c r="M12" i="6" s="1"/>
  <c r="L34" i="3"/>
  <c r="L36" i="3" s="1"/>
  <c r="M23" i="6" s="1"/>
  <c r="L27" i="3"/>
  <c r="H72" i="6"/>
  <c r="Q45" i="9"/>
  <c r="R45" i="9" s="1"/>
  <c r="R43" i="3"/>
  <c r="R44" i="3" s="1"/>
  <c r="R38" i="3" s="1"/>
  <c r="R47" i="3"/>
  <c r="S4" i="2"/>
  <c r="R42" i="3"/>
  <c r="R6" i="2"/>
  <c r="R7" i="2"/>
  <c r="C8" i="5"/>
  <c r="C9" i="5"/>
  <c r="P13" i="6"/>
  <c r="P27" i="5"/>
  <c r="Q13" i="6"/>
  <c r="R102" i="4"/>
  <c r="R104" i="4" s="1"/>
  <c r="R105" i="4"/>
  <c r="S101" i="4" s="1"/>
  <c r="L74" i="4"/>
  <c r="L29" i="3"/>
  <c r="H20" i="7"/>
  <c r="H13" i="7"/>
  <c r="O43" i="2"/>
  <c r="P42" i="6"/>
  <c r="S22" i="9"/>
  <c r="S27" i="9" s="1"/>
  <c r="S21" i="9"/>
  <c r="S26" i="9" s="1"/>
  <c r="S8" i="9"/>
  <c r="S12" i="9" s="1"/>
  <c r="S20" i="9"/>
  <c r="S51" i="9"/>
  <c r="S57" i="9" s="1"/>
  <c r="T9" i="7" s="1"/>
  <c r="S7" i="9"/>
  <c r="T4" i="9"/>
  <c r="S9" i="9"/>
  <c r="S13" i="9" s="1"/>
  <c r="T3" i="6"/>
  <c r="S33" i="6"/>
  <c r="S32" i="6"/>
  <c r="T4" i="4"/>
  <c r="R3" i="3"/>
  <c r="S46" i="6"/>
  <c r="R3" i="5"/>
  <c r="O38" i="2"/>
  <c r="O53" i="2" s="1"/>
  <c r="S16" i="6"/>
  <c r="S17" i="2"/>
  <c r="O31" i="3"/>
  <c r="O27" i="3"/>
  <c r="P66" i="2"/>
  <c r="U14" i="8"/>
  <c r="U26" i="8"/>
  <c r="U48" i="8"/>
  <c r="V3" i="8"/>
  <c r="U9" i="8"/>
  <c r="U52" i="8"/>
  <c r="U32" i="8"/>
  <c r="K42" i="2"/>
  <c r="K57" i="2"/>
  <c r="N28" i="3"/>
  <c r="O25" i="6"/>
  <c r="O26" i="6"/>
  <c r="O27" i="6"/>
  <c r="Q44" i="3"/>
  <c r="Q38" i="3" s="1"/>
  <c r="R4" i="16"/>
  <c r="Q64" i="2"/>
  <c r="Q63" i="2"/>
  <c r="Q65" i="2" s="1"/>
  <c r="R7" i="15"/>
  <c r="R5" i="2"/>
  <c r="O29" i="3"/>
  <c r="F35" i="8"/>
  <c r="F37" i="8" s="1"/>
  <c r="F30" i="8"/>
  <c r="F32" i="8"/>
  <c r="P19" i="3"/>
  <c r="P22" i="3" s="1"/>
  <c r="P28" i="3" s="1"/>
  <c r="K89" i="4"/>
  <c r="K52" i="4"/>
  <c r="C17" i="5"/>
  <c r="C16" i="5"/>
  <c r="S15" i="6"/>
  <c r="S16" i="2"/>
  <c r="P11" i="16"/>
  <c r="P12" i="16" s="1"/>
  <c r="P21" i="16" s="1"/>
  <c r="P24" i="16"/>
  <c r="O14" i="13"/>
  <c r="O15" i="13" s="1"/>
  <c r="P13" i="13"/>
  <c r="O27" i="5"/>
  <c r="P51" i="6"/>
  <c r="O39" i="2" s="1"/>
  <c r="O54" i="2" s="1"/>
  <c r="R34" i="6"/>
  <c r="Q30" i="2" s="1"/>
  <c r="Q11" i="13"/>
  <c r="R17" i="3"/>
  <c r="R8" i="3"/>
  <c r="K67" i="6"/>
  <c r="L6" i="4"/>
  <c r="J37" i="17"/>
  <c r="J38" i="17" s="1"/>
  <c r="J42" i="17" s="1"/>
  <c r="J41" i="5"/>
  <c r="K64" i="6"/>
  <c r="M71" i="4"/>
  <c r="K16" i="4"/>
  <c r="K20" i="4" s="1"/>
  <c r="K37" i="4" s="1"/>
  <c r="W26" i="5"/>
  <c r="H41" i="8"/>
  <c r="H43" i="8" s="1"/>
  <c r="H20" i="8"/>
  <c r="H23" i="8" s="1"/>
  <c r="H25" i="8" s="1"/>
  <c r="H27" i="8" s="1"/>
  <c r="I10" i="7"/>
  <c r="K12" i="2"/>
  <c r="L10" i="6" s="1"/>
  <c r="L17" i="6" s="1"/>
  <c r="K76" i="2"/>
  <c r="K25" i="2"/>
  <c r="M29" i="6"/>
  <c r="M58" i="6" s="1"/>
  <c r="M9" i="15" s="1"/>
  <c r="L29" i="2"/>
  <c r="M29" i="3"/>
  <c r="M31" i="3"/>
  <c r="D45" i="8"/>
  <c r="D46" i="8" s="1"/>
  <c r="D49" i="8" s="1"/>
  <c r="R27" i="7"/>
  <c r="R31" i="7" s="1"/>
  <c r="S30" i="7" s="1"/>
  <c r="E72" i="6"/>
  <c r="S41" i="9"/>
  <c r="R38" i="9"/>
  <c r="R43" i="9" s="1"/>
  <c r="Q7" i="6"/>
  <c r="P14" i="2"/>
  <c r="Q11" i="6" s="1"/>
  <c r="S29" i="4"/>
  <c r="S35" i="4"/>
  <c r="S37" i="4"/>
  <c r="S28" i="4"/>
  <c r="S34" i="4"/>
  <c r="S8" i="4"/>
  <c r="S26" i="4"/>
  <c r="S27" i="4" s="1"/>
  <c r="S99" i="4"/>
  <c r="S36" i="4"/>
  <c r="S12" i="4"/>
  <c r="S84" i="4"/>
  <c r="S19" i="4"/>
  <c r="S10" i="4"/>
  <c r="S9" i="4"/>
  <c r="S20" i="4"/>
  <c r="S38" i="4"/>
  <c r="S69" i="4"/>
  <c r="S13" i="4"/>
  <c r="S14" i="4"/>
  <c r="A40" i="10"/>
  <c r="F39" i="10"/>
  <c r="E39" i="10"/>
  <c r="D40" i="10" s="1"/>
  <c r="I67" i="6"/>
  <c r="I68" i="6" s="1"/>
  <c r="J6" i="4"/>
  <c r="H37" i="17"/>
  <c r="H38" i="17" s="1"/>
  <c r="H42" i="17" s="1"/>
  <c r="H41" i="5"/>
  <c r="I64" i="6"/>
  <c r="Q63" i="6"/>
  <c r="Q16" i="16"/>
  <c r="Q17" i="16" s="1"/>
  <c r="H34" i="2"/>
  <c r="H35" i="2" s="1"/>
  <c r="H24" i="5"/>
  <c r="H50" i="2"/>
  <c r="R30" i="4"/>
  <c r="N44" i="2"/>
  <c r="Q48" i="6"/>
  <c r="Q41" i="6"/>
  <c r="Q47" i="6"/>
  <c r="Q50" i="6"/>
  <c r="Q38" i="6"/>
  <c r="Q39" i="6"/>
  <c r="Q49" i="6"/>
  <c r="Q45" i="6"/>
  <c r="Q37" i="6"/>
  <c r="G45" i="8"/>
  <c r="G46" i="8" s="1"/>
  <c r="G49" i="8" s="1"/>
  <c r="P14" i="6"/>
  <c r="U47" i="9"/>
  <c r="T52" i="9"/>
  <c r="S14" i="9"/>
  <c r="R11" i="9"/>
  <c r="R16" i="9" s="1"/>
  <c r="R44" i="8" s="1"/>
  <c r="L86" i="4"/>
  <c r="K55" i="4"/>
  <c r="J28" i="16" s="1"/>
  <c r="T10" i="8"/>
  <c r="T56" i="6"/>
  <c r="S33" i="2" s="1"/>
  <c r="N28" i="6"/>
  <c r="V3" i="7"/>
  <c r="U12" i="7"/>
  <c r="U32" i="7"/>
  <c r="V29" i="7" s="1"/>
  <c r="P10" i="2"/>
  <c r="R53" i="6"/>
  <c r="U4" i="6"/>
  <c r="S4" i="3"/>
  <c r="S4" i="5"/>
  <c r="P11" i="6"/>
  <c r="D33" i="8"/>
  <c r="E29" i="8" s="1"/>
  <c r="P27" i="6"/>
  <c r="P28" i="6" s="1"/>
  <c r="S27" i="7" l="1"/>
  <c r="S31" i="7" s="1"/>
  <c r="T30" i="7" s="1"/>
  <c r="O29" i="2"/>
  <c r="Q26" i="3"/>
  <c r="L87" i="4"/>
  <c r="L90" i="4"/>
  <c r="L51" i="4"/>
  <c r="E10" i="15"/>
  <c r="U18" i="1"/>
  <c r="L42" i="2"/>
  <c r="L45" i="2" s="1"/>
  <c r="L47" i="2" s="1"/>
  <c r="L57" i="2"/>
  <c r="L59" i="2" s="1"/>
  <c r="P29" i="2"/>
  <c r="Q21" i="8"/>
  <c r="Q42" i="8" s="1"/>
  <c r="Q7" i="7"/>
  <c r="E40" i="10"/>
  <c r="D41" i="10" s="1"/>
  <c r="A41" i="10"/>
  <c r="D16" i="10"/>
  <c r="F40" i="10"/>
  <c r="O28" i="6"/>
  <c r="T34" i="9"/>
  <c r="T35" i="9"/>
  <c r="T39" i="9" s="1"/>
  <c r="U33" i="9"/>
  <c r="T36" i="9"/>
  <c r="T40" i="9" s="1"/>
  <c r="S8" i="3"/>
  <c r="S17" i="3"/>
  <c r="K58" i="4"/>
  <c r="K62" i="4" s="1"/>
  <c r="I35" i="5"/>
  <c r="I36" i="5" s="1"/>
  <c r="K54" i="4"/>
  <c r="I23" i="5" s="1"/>
  <c r="N31" i="3"/>
  <c r="S34" i="6"/>
  <c r="R30" i="2" s="1"/>
  <c r="R11" i="13"/>
  <c r="T14" i="9"/>
  <c r="S11" i="9"/>
  <c r="S16" i="9" s="1"/>
  <c r="S44" i="8" s="1"/>
  <c r="R7" i="6"/>
  <c r="Q14" i="2"/>
  <c r="R11" i="6" s="1"/>
  <c r="P31" i="3"/>
  <c r="V4" i="6"/>
  <c r="T4" i="3"/>
  <c r="T4" i="5"/>
  <c r="S30" i="4"/>
  <c r="O32" i="3"/>
  <c r="Q20" i="3"/>
  <c r="G7" i="5"/>
  <c r="G15" i="5"/>
  <c r="H10" i="15"/>
  <c r="Q32" i="2"/>
  <c r="Q22" i="17"/>
  <c r="R8" i="7"/>
  <c r="V47" i="9"/>
  <c r="U52" i="9"/>
  <c r="P38" i="2"/>
  <c r="P53" i="2" s="1"/>
  <c r="J60" i="4"/>
  <c r="J16" i="4"/>
  <c r="J20" i="4" s="1"/>
  <c r="R16" i="16"/>
  <c r="R17" i="16" s="1"/>
  <c r="R63" i="6"/>
  <c r="M24" i="2"/>
  <c r="N12" i="6" s="1"/>
  <c r="M34" i="3"/>
  <c r="M36" i="3" s="1"/>
  <c r="N23" i="6" s="1"/>
  <c r="N29" i="6" s="1"/>
  <c r="N58" i="6" s="1"/>
  <c r="N9" i="15" s="1"/>
  <c r="M27" i="3"/>
  <c r="M32" i="3" s="1"/>
  <c r="M58" i="2"/>
  <c r="K59" i="2"/>
  <c r="O24" i="2"/>
  <c r="P12" i="6" s="1"/>
  <c r="O23" i="2"/>
  <c r="O34" i="3"/>
  <c r="O36" i="3" s="1"/>
  <c r="P23" i="6" s="1"/>
  <c r="P29" i="6" s="1"/>
  <c r="P58" i="6" s="1"/>
  <c r="P9" i="15" s="1"/>
  <c r="T28" i="9"/>
  <c r="S25" i="9"/>
  <c r="S30" i="9" s="1"/>
  <c r="S22" i="8" s="1"/>
  <c r="L32" i="3"/>
  <c r="Q10" i="2"/>
  <c r="E35" i="8"/>
  <c r="E37" i="8" s="1"/>
  <c r="E30" i="8"/>
  <c r="E32" i="8"/>
  <c r="S38" i="9"/>
  <c r="S43" i="9" s="1"/>
  <c r="S45" i="9" s="1"/>
  <c r="T41" i="9"/>
  <c r="Q40" i="6"/>
  <c r="Q42" i="6" s="1"/>
  <c r="P31" i="2" s="1"/>
  <c r="P48" i="2"/>
  <c r="P49" i="2"/>
  <c r="P43" i="2"/>
  <c r="L61" i="6"/>
  <c r="L8" i="15"/>
  <c r="L13" i="8"/>
  <c r="K21" i="2"/>
  <c r="K60" i="4"/>
  <c r="Q66" i="2"/>
  <c r="U10" i="8"/>
  <c r="U56" i="6"/>
  <c r="T33" i="2" s="1"/>
  <c r="S42" i="3"/>
  <c r="T4" i="2"/>
  <c r="S47" i="3"/>
  <c r="S43" i="3"/>
  <c r="S6" i="2"/>
  <c r="S7" i="2"/>
  <c r="M75" i="4"/>
  <c r="M72" i="4"/>
  <c r="T15" i="6"/>
  <c r="T16" i="2"/>
  <c r="K45" i="2"/>
  <c r="S53" i="6"/>
  <c r="J30" i="5"/>
  <c r="J31" i="5" s="1"/>
  <c r="Q27" i="5"/>
  <c r="R13" i="6"/>
  <c r="R49" i="6"/>
  <c r="R50" i="6"/>
  <c r="R48" i="6"/>
  <c r="R39" i="6"/>
  <c r="R47" i="6"/>
  <c r="R38" i="6"/>
  <c r="R37" i="6"/>
  <c r="R41" i="6"/>
  <c r="R45" i="6"/>
  <c r="R10" i="3"/>
  <c r="R11" i="3"/>
  <c r="R12" i="3" s="1"/>
  <c r="R4" i="13"/>
  <c r="R33" i="3"/>
  <c r="R21" i="3"/>
  <c r="T53" i="6"/>
  <c r="U3" i="6"/>
  <c r="T32" i="6"/>
  <c r="T46" i="6"/>
  <c r="T33" i="6"/>
  <c r="U4" i="4"/>
  <c r="S3" i="3"/>
  <c r="S3" i="5"/>
  <c r="S102" i="4"/>
  <c r="S104" i="4" s="1"/>
  <c r="S105" i="4"/>
  <c r="T101" i="4" s="1"/>
  <c r="S6" i="6"/>
  <c r="R13" i="2"/>
  <c r="L12" i="2"/>
  <c r="M10" i="6" s="1"/>
  <c r="M17" i="6" s="1"/>
  <c r="L76" i="2"/>
  <c r="L25" i="2"/>
  <c r="V32" i="7"/>
  <c r="W29" i="7" s="1"/>
  <c r="W3" i="7"/>
  <c r="V12" i="7"/>
  <c r="X26" i="5"/>
  <c r="S4" i="16"/>
  <c r="S5" i="2"/>
  <c r="R64" i="2"/>
  <c r="R63" i="2"/>
  <c r="S7" i="15"/>
  <c r="T8" i="4"/>
  <c r="T19" i="4"/>
  <c r="T38" i="4"/>
  <c r="T10" i="4"/>
  <c r="T26" i="4"/>
  <c r="T12" i="4"/>
  <c r="T29" i="4"/>
  <c r="T35" i="4"/>
  <c r="T69" i="4"/>
  <c r="T9" i="4"/>
  <c r="T84" i="4"/>
  <c r="T99" i="4"/>
  <c r="T20" i="4"/>
  <c r="T37" i="4" s="1"/>
  <c r="T28" i="4"/>
  <c r="T36" i="4"/>
  <c r="T34" i="4"/>
  <c r="T14" i="4"/>
  <c r="T13" i="4"/>
  <c r="O31" i="2"/>
  <c r="S5" i="6"/>
  <c r="R9" i="2"/>
  <c r="R8" i="2"/>
  <c r="D15" i="5"/>
  <c r="D7" i="5"/>
  <c r="Q51" i="6"/>
  <c r="P39" i="2" s="1"/>
  <c r="P54" i="2" s="1"/>
  <c r="I69" i="6"/>
  <c r="L16" i="4"/>
  <c r="L20" i="4" s="1"/>
  <c r="L37" i="4" s="1"/>
  <c r="Q11" i="16"/>
  <c r="Q12" i="16" s="1"/>
  <c r="Q21" i="16" s="1"/>
  <c r="Q24" i="16"/>
  <c r="Q13" i="13"/>
  <c r="P14" i="13"/>
  <c r="P15" i="13" s="1"/>
  <c r="J11" i="7"/>
  <c r="J66" i="6"/>
  <c r="T51" i="9"/>
  <c r="T57" i="9" s="1"/>
  <c r="U9" i="7" s="1"/>
  <c r="T9" i="9"/>
  <c r="T13" i="9" s="1"/>
  <c r="T21" i="9"/>
  <c r="T26" i="9" s="1"/>
  <c r="U4" i="9"/>
  <c r="T20" i="9"/>
  <c r="T7" i="9"/>
  <c r="T8" i="9"/>
  <c r="T12" i="9" s="1"/>
  <c r="T22" i="9"/>
  <c r="T27" i="9" s="1"/>
  <c r="M29" i="2"/>
  <c r="D51" i="8"/>
  <c r="D54" i="8"/>
  <c r="D21" i="7" s="1"/>
  <c r="D52" i="8"/>
  <c r="G54" i="8"/>
  <c r="G21" i="7" s="1"/>
  <c r="G52" i="8"/>
  <c r="H30" i="8"/>
  <c r="F45" i="8"/>
  <c r="F46" i="8" s="1"/>
  <c r="F49" i="8" s="1"/>
  <c r="V32" i="8"/>
  <c r="V14" i="8"/>
  <c r="V26" i="8"/>
  <c r="V48" i="8"/>
  <c r="V9" i="8"/>
  <c r="W3" i="8"/>
  <c r="V52" i="8"/>
  <c r="T16" i="6"/>
  <c r="T17" i="2"/>
  <c r="Q14" i="6"/>
  <c r="E105" i="1"/>
  <c r="F105" i="1"/>
  <c r="P58" i="2" l="1"/>
  <c r="P44" i="2"/>
  <c r="R26" i="3"/>
  <c r="T27" i="7"/>
  <c r="T31" i="7" s="1"/>
  <c r="U30" i="7" s="1"/>
  <c r="S50" i="6"/>
  <c r="S37" i="6"/>
  <c r="S41" i="6"/>
  <c r="S47" i="6"/>
  <c r="S38" i="6"/>
  <c r="S39" i="6"/>
  <c r="S45" i="6"/>
  <c r="S49" i="6"/>
  <c r="S48" i="6"/>
  <c r="M61" i="6"/>
  <c r="M13" i="8"/>
  <c r="M8" i="15"/>
  <c r="L21" i="2"/>
  <c r="K47" i="2"/>
  <c r="O12" i="2"/>
  <c r="P10" i="6" s="1"/>
  <c r="P17" i="6" s="1"/>
  <c r="O76" i="2"/>
  <c r="O25" i="2"/>
  <c r="P24" i="2"/>
  <c r="Q12" i="6" s="1"/>
  <c r="P34" i="3"/>
  <c r="P36" i="3" s="1"/>
  <c r="Q23" i="6" s="1"/>
  <c r="Q29" i="6" s="1"/>
  <c r="Q58" i="6" s="1"/>
  <c r="Q9" i="15" s="1"/>
  <c r="P27" i="3"/>
  <c r="P32" i="3" s="1"/>
  <c r="M86" i="4"/>
  <c r="L55" i="4"/>
  <c r="K28" i="16" s="1"/>
  <c r="L89" i="4"/>
  <c r="L52" i="4"/>
  <c r="U28" i="9"/>
  <c r="T25" i="9"/>
  <c r="T30" i="9" s="1"/>
  <c r="T22" i="8" s="1"/>
  <c r="R24" i="16"/>
  <c r="R13" i="13"/>
  <c r="R11" i="16"/>
  <c r="R12" i="16" s="1"/>
  <c r="R21" i="16" s="1"/>
  <c r="Q14" i="13"/>
  <c r="Q15" i="13" s="1"/>
  <c r="G16" i="5"/>
  <c r="E16" i="5"/>
  <c r="D17" i="5"/>
  <c r="F17" i="5"/>
  <c r="F16" i="5"/>
  <c r="G17" i="5"/>
  <c r="D16" i="5"/>
  <c r="E17" i="5"/>
  <c r="T102" i="4"/>
  <c r="T104" i="4" s="1"/>
  <c r="T105" i="4"/>
  <c r="U101" i="4" s="1"/>
  <c r="S32" i="2"/>
  <c r="S22" i="17"/>
  <c r="T8" i="7"/>
  <c r="R42" i="6"/>
  <c r="Q31" i="2" s="1"/>
  <c r="S44" i="3"/>
  <c r="S38" i="3" s="1"/>
  <c r="M23" i="2"/>
  <c r="W47" i="9"/>
  <c r="V52" i="9"/>
  <c r="R40" i="6"/>
  <c r="Q49" i="2"/>
  <c r="T38" i="9"/>
  <c r="T43" i="9" s="1"/>
  <c r="T45" i="9" s="1"/>
  <c r="U41" i="9"/>
  <c r="O57" i="2"/>
  <c r="O42" i="2"/>
  <c r="O45" i="2" s="1"/>
  <c r="O47" i="2" s="1"/>
  <c r="D59" i="8"/>
  <c r="D61" i="8" s="1"/>
  <c r="D63" i="8" s="1"/>
  <c r="D26" i="16" s="1"/>
  <c r="D30" i="16" s="1"/>
  <c r="D22" i="7"/>
  <c r="U7" i="9"/>
  <c r="U22" i="9"/>
  <c r="U27" i="9" s="1"/>
  <c r="U9" i="9"/>
  <c r="U13" i="9" s="1"/>
  <c r="U8" i="9"/>
  <c r="U12" i="9" s="1"/>
  <c r="V4" i="9"/>
  <c r="U20" i="9"/>
  <c r="U21" i="9"/>
  <c r="U26" i="9" s="1"/>
  <c r="U51" i="9"/>
  <c r="U57" i="9" s="1"/>
  <c r="V9" i="7" s="1"/>
  <c r="R65" i="2"/>
  <c r="Q38" i="2"/>
  <c r="Q53" i="2" s="1"/>
  <c r="I18" i="8"/>
  <c r="I6" i="7"/>
  <c r="I71" i="6"/>
  <c r="I60" i="8" s="1"/>
  <c r="I72" i="6"/>
  <c r="U12" i="4"/>
  <c r="U29" i="4"/>
  <c r="U10" i="4"/>
  <c r="U26" i="4"/>
  <c r="U9" i="4"/>
  <c r="U20" i="4"/>
  <c r="U30" i="4"/>
  <c r="U36" i="4"/>
  <c r="U19" i="4"/>
  <c r="U38" i="4"/>
  <c r="U8" i="4"/>
  <c r="U69" i="4"/>
  <c r="U34" i="4"/>
  <c r="U35" i="4" s="1"/>
  <c r="U37" i="4"/>
  <c r="U84" i="4"/>
  <c r="U28" i="4"/>
  <c r="U99" i="4"/>
  <c r="U13" i="4"/>
  <c r="U14" i="4"/>
  <c r="N24" i="2"/>
  <c r="O12" i="6" s="1"/>
  <c r="N23" i="2"/>
  <c r="N34" i="3"/>
  <c r="N36" i="3" s="1"/>
  <c r="O23" i="6" s="1"/>
  <c r="N27" i="3"/>
  <c r="N58" i="2"/>
  <c r="E41" i="10"/>
  <c r="D42" i="10" s="1"/>
  <c r="A42" i="10"/>
  <c r="F41" i="10"/>
  <c r="O44" i="2"/>
  <c r="O58" i="2"/>
  <c r="R51" i="6"/>
  <c r="Q39" i="2" s="1"/>
  <c r="Q54" i="2" s="1"/>
  <c r="N29" i="3"/>
  <c r="U35" i="9"/>
  <c r="U39" i="9" s="1"/>
  <c r="U34" i="9"/>
  <c r="V33" i="9"/>
  <c r="U36" i="9"/>
  <c r="U40" i="9" s="1"/>
  <c r="E33" i="8"/>
  <c r="F29" i="8" s="1"/>
  <c r="F33" i="8" s="1"/>
  <c r="G29" i="8" s="1"/>
  <c r="G33" i="8" s="1"/>
  <c r="H29" i="8" s="1"/>
  <c r="U15" i="6"/>
  <c r="U16" i="2"/>
  <c r="P29" i="3"/>
  <c r="M74" i="4"/>
  <c r="P42" i="2"/>
  <c r="P57" i="2"/>
  <c r="P59" i="2" s="1"/>
  <c r="W32" i="8"/>
  <c r="W14" i="8"/>
  <c r="W26" i="8"/>
  <c r="X3" i="8"/>
  <c r="W52" i="8"/>
  <c r="W48" i="8"/>
  <c r="W9" i="8"/>
  <c r="J68" i="6"/>
  <c r="J69" i="6" s="1"/>
  <c r="J10" i="7"/>
  <c r="Y26" i="5"/>
  <c r="X27" i="5"/>
  <c r="T5" i="6"/>
  <c r="S8" i="2"/>
  <c r="S9" i="2"/>
  <c r="G59" i="8"/>
  <c r="G61" i="8" s="1"/>
  <c r="G22" i="7"/>
  <c r="L67" i="6"/>
  <c r="M6" i="4"/>
  <c r="K41" i="5"/>
  <c r="K37" i="17"/>
  <c r="K38" i="17" s="1"/>
  <c r="K42" i="17" s="1"/>
  <c r="L64" i="6"/>
  <c r="F54" i="8"/>
  <c r="F21" i="7" s="1"/>
  <c r="F52" i="8"/>
  <c r="U14" i="9"/>
  <c r="T11" i="9"/>
  <c r="T16" i="9" s="1"/>
  <c r="T44" i="8" s="1"/>
  <c r="F8" i="5"/>
  <c r="E9" i="5"/>
  <c r="G9" i="5"/>
  <c r="E8" i="5"/>
  <c r="D8" i="5"/>
  <c r="D9" i="5"/>
  <c r="F9" i="5"/>
  <c r="G8" i="5"/>
  <c r="S13" i="6"/>
  <c r="V3" i="6"/>
  <c r="U32" i="6"/>
  <c r="U46" i="6"/>
  <c r="U33" i="6"/>
  <c r="V4" i="4"/>
  <c r="T3" i="3"/>
  <c r="T3" i="5"/>
  <c r="E45" i="8"/>
  <c r="E46" i="8" s="1"/>
  <c r="E49" i="8" s="1"/>
  <c r="I34" i="2"/>
  <c r="I35" i="2" s="1"/>
  <c r="I24" i="5"/>
  <c r="I50" i="2"/>
  <c r="I51" i="2" s="1"/>
  <c r="V10" i="8"/>
  <c r="V56" i="6"/>
  <c r="U33" i="2" s="1"/>
  <c r="U16" i="6"/>
  <c r="U17" i="2"/>
  <c r="E51" i="8"/>
  <c r="S7" i="6"/>
  <c r="R14" i="2"/>
  <c r="S11" i="6" s="1"/>
  <c r="R66" i="2"/>
  <c r="R21" i="8"/>
  <c r="R42" i="8" s="1"/>
  <c r="R7" i="7"/>
  <c r="O29" i="6"/>
  <c r="O58" i="6" s="1"/>
  <c r="O9" i="15" s="1"/>
  <c r="N29" i="2"/>
  <c r="M42" i="2"/>
  <c r="M45" i="2" s="1"/>
  <c r="M47" i="2" s="1"/>
  <c r="M57" i="2"/>
  <c r="M59" i="2" s="1"/>
  <c r="L58" i="4"/>
  <c r="L62" i="4" s="1"/>
  <c r="R10" i="2"/>
  <c r="T27" i="4"/>
  <c r="T4" i="16"/>
  <c r="T5" i="2"/>
  <c r="S64" i="2"/>
  <c r="S63" i="2"/>
  <c r="S65" i="2" s="1"/>
  <c r="T7" i="15"/>
  <c r="W12" i="7"/>
  <c r="X3" i="7"/>
  <c r="W32" i="7"/>
  <c r="X29" i="7" s="1"/>
  <c r="S4" i="13"/>
  <c r="S11" i="3"/>
  <c r="S12" i="3" s="1"/>
  <c r="S10" i="3"/>
  <c r="S21" i="3"/>
  <c r="S33" i="3"/>
  <c r="T34" i="6"/>
  <c r="S30" i="2" s="1"/>
  <c r="S11" i="13"/>
  <c r="R32" i="2"/>
  <c r="R48" i="2" s="1"/>
  <c r="R22" i="17"/>
  <c r="S8" i="7"/>
  <c r="N71" i="4"/>
  <c r="R20" i="3"/>
  <c r="Q48" i="2"/>
  <c r="T17" i="3"/>
  <c r="T8" i="3"/>
  <c r="L60" i="4"/>
  <c r="T30" i="4"/>
  <c r="T6" i="6"/>
  <c r="S13" i="2"/>
  <c r="T47" i="3"/>
  <c r="U4" i="2"/>
  <c r="T42" i="3"/>
  <c r="T43" i="3"/>
  <c r="T44" i="3" s="1"/>
  <c r="T38" i="3" s="1"/>
  <c r="T7" i="2"/>
  <c r="T6" i="2"/>
  <c r="S16" i="16"/>
  <c r="S17" i="16" s="1"/>
  <c r="S63" i="6"/>
  <c r="J37" i="4"/>
  <c r="R14" i="6"/>
  <c r="Q19" i="3"/>
  <c r="Q22" i="3" s="1"/>
  <c r="W4" i="6"/>
  <c r="U4" i="3"/>
  <c r="U4" i="5"/>
  <c r="Q43" i="2"/>
  <c r="S26" i="3" l="1"/>
  <c r="U27" i="7"/>
  <c r="U31" i="7" s="1"/>
  <c r="V30" i="7" s="1"/>
  <c r="S48" i="2"/>
  <c r="U45" i="9"/>
  <c r="U8" i="3"/>
  <c r="U17" i="3"/>
  <c r="U47" i="3"/>
  <c r="V4" i="2"/>
  <c r="U43" i="3"/>
  <c r="U42" i="3"/>
  <c r="U6" i="2"/>
  <c r="U7" i="2"/>
  <c r="W10" i="8"/>
  <c r="W56" i="6"/>
  <c r="V33" i="2" s="1"/>
  <c r="B33" i="2" s="1"/>
  <c r="E42" i="10"/>
  <c r="D43" i="10" s="1"/>
  <c r="A43" i="10"/>
  <c r="F42" i="10"/>
  <c r="V14" i="9"/>
  <c r="U11" i="9"/>
  <c r="U16" i="9" s="1"/>
  <c r="U44" i="8" s="1"/>
  <c r="S51" i="6"/>
  <c r="R39" i="2" s="1"/>
  <c r="R54" i="2" s="1"/>
  <c r="Q28" i="3"/>
  <c r="R26" i="6"/>
  <c r="R25" i="6"/>
  <c r="R28" i="6" s="1"/>
  <c r="R27" i="6"/>
  <c r="U4" i="16"/>
  <c r="U5" i="2"/>
  <c r="T64" i="2"/>
  <c r="T63" i="2"/>
  <c r="T65" i="2" s="1"/>
  <c r="U7" i="15"/>
  <c r="S40" i="6"/>
  <c r="R49" i="2"/>
  <c r="V20" i="4"/>
  <c r="V36" i="4"/>
  <c r="V8" i="4"/>
  <c r="V19" i="4"/>
  <c r="V38" i="4"/>
  <c r="V29" i="4"/>
  <c r="V12" i="4"/>
  <c r="V26" i="4"/>
  <c r="V27" i="4" s="1"/>
  <c r="V28" i="4"/>
  <c r="V69" i="4"/>
  <c r="V10" i="4"/>
  <c r="V9" i="4"/>
  <c r="V37" i="4"/>
  <c r="V84" i="4"/>
  <c r="V99" i="4"/>
  <c r="V34" i="4"/>
  <c r="V35" i="4" s="1"/>
  <c r="V14" i="4"/>
  <c r="V13" i="4"/>
  <c r="R27" i="5"/>
  <c r="T41" i="6"/>
  <c r="T47" i="6"/>
  <c r="T37" i="6"/>
  <c r="T38" i="6"/>
  <c r="T39" i="6"/>
  <c r="T50" i="6"/>
  <c r="T49" i="6"/>
  <c r="T45" i="6"/>
  <c r="T48" i="6"/>
  <c r="I10" i="15"/>
  <c r="D36" i="7"/>
  <c r="D11" i="15"/>
  <c r="C11" i="5"/>
  <c r="S14" i="6"/>
  <c r="R19" i="3"/>
  <c r="R22" i="3" s="1"/>
  <c r="X12" i="7"/>
  <c r="X32" i="7"/>
  <c r="Y29" i="7" s="1"/>
  <c r="Y3" i="7"/>
  <c r="E54" i="8"/>
  <c r="E21" i="7" s="1"/>
  <c r="E52" i="8"/>
  <c r="F51" i="8" s="1"/>
  <c r="G51" i="8" s="1"/>
  <c r="P45" i="2"/>
  <c r="P47" i="2" s="1"/>
  <c r="V15" i="6"/>
  <c r="V16" i="2"/>
  <c r="R38" i="2"/>
  <c r="R53" i="2" s="1"/>
  <c r="Z26" i="5"/>
  <c r="Y27" i="5"/>
  <c r="N32" i="3"/>
  <c r="I20" i="7"/>
  <c r="I13" i="7"/>
  <c r="V28" i="9"/>
  <c r="U25" i="9"/>
  <c r="U30" i="9" s="1"/>
  <c r="U22" i="8" s="1"/>
  <c r="W52" i="9"/>
  <c r="X47" i="9"/>
  <c r="X52" i="9" s="1"/>
  <c r="U102" i="4"/>
  <c r="U104" i="4" s="1"/>
  <c r="U105" i="4"/>
  <c r="V101" i="4" s="1"/>
  <c r="K66" i="6"/>
  <c r="K11" i="7"/>
  <c r="P23" i="2"/>
  <c r="Q44" i="2"/>
  <c r="S24" i="16"/>
  <c r="S11" i="16"/>
  <c r="S12" i="16" s="1"/>
  <c r="S21" i="16" s="1"/>
  <c r="R14" i="13"/>
  <c r="R15" i="13" s="1"/>
  <c r="S13" i="13"/>
  <c r="P61" i="6"/>
  <c r="P8" i="15"/>
  <c r="P13" i="8"/>
  <c r="O21" i="2"/>
  <c r="X4" i="6"/>
  <c r="V4" i="3"/>
  <c r="V4" i="5"/>
  <c r="U6" i="6"/>
  <c r="T13" i="2"/>
  <c r="S66" i="2"/>
  <c r="T7" i="6"/>
  <c r="S14" i="2"/>
  <c r="T11" i="6" s="1"/>
  <c r="M16" i="4"/>
  <c r="M20" i="4" s="1"/>
  <c r="M37" i="4" s="1"/>
  <c r="R43" i="2"/>
  <c r="N72" i="4"/>
  <c r="N75" i="4"/>
  <c r="N57" i="2"/>
  <c r="N59" i="2" s="1"/>
  <c r="N42" i="2"/>
  <c r="N45" i="2" s="1"/>
  <c r="N47" i="2" s="1"/>
  <c r="V16" i="6"/>
  <c r="V17" i="2"/>
  <c r="U34" i="6"/>
  <c r="T30" i="2" s="1"/>
  <c r="T11" i="13"/>
  <c r="G36" i="7"/>
  <c r="F11" i="5"/>
  <c r="G11" i="15"/>
  <c r="J58" i="4"/>
  <c r="J62" i="4" s="1"/>
  <c r="U53" i="6"/>
  <c r="X9" i="8"/>
  <c r="X22" i="8"/>
  <c r="X52" i="8"/>
  <c r="X32" i="8"/>
  <c r="X44" i="8"/>
  <c r="X14" i="8"/>
  <c r="X26" i="8"/>
  <c r="Y3" i="8"/>
  <c r="X30" i="8"/>
  <c r="X48" i="8"/>
  <c r="X51" i="8"/>
  <c r="K30" i="5"/>
  <c r="K31" i="5" s="1"/>
  <c r="H33" i="8"/>
  <c r="I29" i="8" s="1"/>
  <c r="H32" i="8"/>
  <c r="U27" i="4"/>
  <c r="I41" i="8"/>
  <c r="I43" i="8" s="1"/>
  <c r="I20" i="8"/>
  <c r="I23" i="8" s="1"/>
  <c r="I25" i="8" s="1"/>
  <c r="I27" i="8" s="1"/>
  <c r="W4" i="9"/>
  <c r="V20" i="9"/>
  <c r="V51" i="9"/>
  <c r="V57" i="9" s="1"/>
  <c r="W9" i="7" s="1"/>
  <c r="V22" i="9"/>
  <c r="V27" i="9" s="1"/>
  <c r="V8" i="9"/>
  <c r="V12" i="9" s="1"/>
  <c r="V21" i="9"/>
  <c r="V26" i="9" s="1"/>
  <c r="V9" i="9"/>
  <c r="V13" i="9" s="1"/>
  <c r="V7" i="9"/>
  <c r="O59" i="2"/>
  <c r="M12" i="2"/>
  <c r="N10" i="6" s="1"/>
  <c r="N17" i="6" s="1"/>
  <c r="M76" i="2"/>
  <c r="M25" i="2"/>
  <c r="J35" i="5"/>
  <c r="J36" i="5" s="1"/>
  <c r="L54" i="4"/>
  <c r="J23" i="5" s="1"/>
  <c r="U5" i="6"/>
  <c r="T9" i="2"/>
  <c r="T8" i="2"/>
  <c r="T20" i="3" s="1"/>
  <c r="U38" i="9"/>
  <c r="U43" i="9" s="1"/>
  <c r="V41" i="9"/>
  <c r="T16" i="16"/>
  <c r="T17" i="16" s="1"/>
  <c r="T63" i="6"/>
  <c r="S21" i="8"/>
  <c r="S42" i="8" s="1"/>
  <c r="S7" i="7"/>
  <c r="T4" i="13"/>
  <c r="T10" i="3"/>
  <c r="T12" i="3"/>
  <c r="T11" i="3"/>
  <c r="T21" i="3"/>
  <c r="T33" i="3"/>
  <c r="F59" i="8"/>
  <c r="F61" i="8" s="1"/>
  <c r="F22" i="7"/>
  <c r="J18" i="8"/>
  <c r="J6" i="7"/>
  <c r="J71" i="6"/>
  <c r="J60" i="8" s="1"/>
  <c r="J72" i="6"/>
  <c r="N12" i="2"/>
  <c r="O10" i="6" s="1"/>
  <c r="O17" i="6" s="1"/>
  <c r="N76" i="2"/>
  <c r="N25" i="2"/>
  <c r="M67" i="6"/>
  <c r="N6" i="4"/>
  <c r="L37" i="17"/>
  <c r="L38" i="17" s="1"/>
  <c r="L42" i="17" s="1"/>
  <c r="L41" i="5"/>
  <c r="M64" i="6"/>
  <c r="S42" i="6"/>
  <c r="R31" i="2" s="1"/>
  <c r="S20" i="3"/>
  <c r="V46" i="6"/>
  <c r="V33" i="6"/>
  <c r="V32" i="6"/>
  <c r="V53" i="6"/>
  <c r="W3" i="6"/>
  <c r="W4" i="4"/>
  <c r="U3" i="3"/>
  <c r="U3" i="5"/>
  <c r="S10" i="2"/>
  <c r="V35" i="9"/>
  <c r="V39" i="9" s="1"/>
  <c r="V36" i="9"/>
  <c r="V40" i="9" s="1"/>
  <c r="W33" i="9"/>
  <c r="V34" i="9"/>
  <c r="M87" i="4"/>
  <c r="M90" i="4"/>
  <c r="M51" i="4"/>
  <c r="T19" i="3" l="1"/>
  <c r="T22" i="3" s="1"/>
  <c r="T28" i="3" s="1"/>
  <c r="V27" i="7"/>
  <c r="V31" i="7" s="1"/>
  <c r="W30" i="7" s="1"/>
  <c r="R44" i="2"/>
  <c r="Q29" i="2"/>
  <c r="U49" i="6"/>
  <c r="U39" i="6"/>
  <c r="U48" i="6"/>
  <c r="U50" i="6"/>
  <c r="U47" i="6"/>
  <c r="U37" i="6"/>
  <c r="U45" i="6"/>
  <c r="U38" i="6"/>
  <c r="U41" i="6"/>
  <c r="M60" i="4"/>
  <c r="Q29" i="3"/>
  <c r="Q31" i="3"/>
  <c r="J13" i="7"/>
  <c r="J20" i="7"/>
  <c r="X10" i="8"/>
  <c r="X56" i="6"/>
  <c r="W33" i="2" s="1"/>
  <c r="T40" i="6"/>
  <c r="T42" i="6" s="1"/>
  <c r="S31" i="2" s="1"/>
  <c r="S49" i="2"/>
  <c r="T66" i="2"/>
  <c r="U4" i="13"/>
  <c r="U11" i="3"/>
  <c r="U21" i="3"/>
  <c r="U33" i="3"/>
  <c r="U12" i="3"/>
  <c r="U10" i="3"/>
  <c r="N16" i="4"/>
  <c r="N20" i="4" s="1"/>
  <c r="N37" i="4" s="1"/>
  <c r="J20" i="8"/>
  <c r="J23" i="8" s="1"/>
  <c r="J25" i="8" s="1"/>
  <c r="J27" i="8" s="1"/>
  <c r="J41" i="8"/>
  <c r="J43" i="8" s="1"/>
  <c r="U16" i="16"/>
  <c r="U17" i="16" s="1"/>
  <c r="U63" i="6"/>
  <c r="J34" i="2"/>
  <c r="J35" i="2" s="1"/>
  <c r="J24" i="5"/>
  <c r="J50" i="2"/>
  <c r="J51" i="2" s="1"/>
  <c r="Y51" i="8"/>
  <c r="Y9" i="8"/>
  <c r="Y10" i="8" s="1"/>
  <c r="Y22" i="8"/>
  <c r="Y23" i="8" s="1"/>
  <c r="Y25" i="8" s="1"/>
  <c r="Y27" i="8" s="1"/>
  <c r="Y35" i="8" s="1"/>
  <c r="Y37" i="8" s="1"/>
  <c r="Y52" i="8"/>
  <c r="Y32" i="8"/>
  <c r="Y44" i="8"/>
  <c r="Z3" i="8"/>
  <c r="Y26" i="8"/>
  <c r="Y30" i="8"/>
  <c r="Y14" i="8"/>
  <c r="Y48" i="8"/>
  <c r="AA26" i="5"/>
  <c r="AA27" i="5" s="1"/>
  <c r="Z27" i="5"/>
  <c r="E59" i="8"/>
  <c r="E61" i="8" s="1"/>
  <c r="E63" i="8" s="1"/>
  <c r="E26" i="16" s="1"/>
  <c r="E30" i="16" s="1"/>
  <c r="E22" i="7"/>
  <c r="V30" i="4"/>
  <c r="V4" i="16"/>
  <c r="V5" i="2"/>
  <c r="U64" i="2"/>
  <c r="V7" i="15"/>
  <c r="U63" i="2"/>
  <c r="S43" i="2"/>
  <c r="N61" i="6"/>
  <c r="N13" i="8"/>
  <c r="N8" i="15"/>
  <c r="M21" i="2"/>
  <c r="V17" i="3"/>
  <c r="V8" i="3"/>
  <c r="V102" i="4"/>
  <c r="V104" i="4" s="1"/>
  <c r="V105" i="4"/>
  <c r="W101" i="4" s="1"/>
  <c r="T26" i="3"/>
  <c r="U27" i="6"/>
  <c r="H7" i="5"/>
  <c r="H15" i="5"/>
  <c r="S38" i="2"/>
  <c r="S53" i="2" s="1"/>
  <c r="N86" i="4"/>
  <c r="M55" i="4"/>
  <c r="L28" i="16" s="1"/>
  <c r="W14" i="9"/>
  <c r="V11" i="9"/>
  <c r="V16" i="9" s="1"/>
  <c r="V44" i="8" s="1"/>
  <c r="O71" i="4"/>
  <c r="N74" i="4"/>
  <c r="W41" i="9"/>
  <c r="V38" i="9"/>
  <c r="V43" i="9" s="1"/>
  <c r="W9" i="4"/>
  <c r="W12" i="4"/>
  <c r="W8" i="4"/>
  <c r="W19" i="4"/>
  <c r="W38" i="4"/>
  <c r="W29" i="4"/>
  <c r="W34" i="4"/>
  <c r="W35" i="4" s="1"/>
  <c r="W36" i="4"/>
  <c r="W37" i="4"/>
  <c r="W10" i="4"/>
  <c r="W20" i="4"/>
  <c r="W26" i="4"/>
  <c r="W28" i="4"/>
  <c r="W30" i="4"/>
  <c r="W84" i="4"/>
  <c r="W69" i="4"/>
  <c r="W13" i="4"/>
  <c r="W99" i="4"/>
  <c r="W14" i="4"/>
  <c r="F36" i="7"/>
  <c r="F11" i="15"/>
  <c r="E11" i="5"/>
  <c r="H35" i="8"/>
  <c r="H37" i="8" s="1"/>
  <c r="T32" i="2"/>
  <c r="T22" i="17"/>
  <c r="U8" i="7"/>
  <c r="W16" i="6"/>
  <c r="W17" i="2"/>
  <c r="P67" i="6"/>
  <c r="Q6" i="4"/>
  <c r="O37" i="17"/>
  <c r="O38" i="17" s="1"/>
  <c r="O42" i="17" s="1"/>
  <c r="O41" i="5"/>
  <c r="P64" i="6"/>
  <c r="P12" i="2"/>
  <c r="Q10" i="6" s="1"/>
  <c r="Q17" i="6" s="1"/>
  <c r="P76" i="2"/>
  <c r="P25" i="2"/>
  <c r="T51" i="6"/>
  <c r="S39" i="2" s="1"/>
  <c r="S54" i="2" s="1"/>
  <c r="O61" i="6"/>
  <c r="O13" i="8"/>
  <c r="O8" i="15"/>
  <c r="N21" i="2"/>
  <c r="W28" i="9"/>
  <c r="V25" i="9"/>
  <c r="V30" i="9" s="1"/>
  <c r="V22" i="8" s="1"/>
  <c r="W15" i="6"/>
  <c r="W16" i="2"/>
  <c r="V5" i="6"/>
  <c r="U8" i="2"/>
  <c r="U20" i="3" s="1"/>
  <c r="U9" i="2"/>
  <c r="J10" i="15"/>
  <c r="W4" i="3"/>
  <c r="W4" i="5"/>
  <c r="R28" i="3"/>
  <c r="S26" i="6"/>
  <c r="S25" i="6"/>
  <c r="S27" i="6"/>
  <c r="V34" i="6"/>
  <c r="U30" i="2" s="1"/>
  <c r="U11" i="13"/>
  <c r="X33" i="9"/>
  <c r="W36" i="9"/>
  <c r="W40" i="9" s="1"/>
  <c r="W35" i="9"/>
  <c r="W39" i="9" s="1"/>
  <c r="W34" i="9"/>
  <c r="F63" i="8"/>
  <c r="T13" i="6"/>
  <c r="C12" i="5"/>
  <c r="C13" i="5"/>
  <c r="U44" i="3"/>
  <c r="U38" i="3" s="1"/>
  <c r="U32" i="2"/>
  <c r="U22" i="17"/>
  <c r="V8" i="7"/>
  <c r="M58" i="4"/>
  <c r="M62" i="4" s="1"/>
  <c r="D37" i="7"/>
  <c r="T21" i="8"/>
  <c r="T42" i="8" s="1"/>
  <c r="T7" i="7"/>
  <c r="W7" i="9"/>
  <c r="W51" i="9"/>
  <c r="W57" i="9" s="1"/>
  <c r="W21" i="9"/>
  <c r="W26" i="9" s="1"/>
  <c r="X4" i="9"/>
  <c r="W8" i="9"/>
  <c r="W12" i="9" s="1"/>
  <c r="W20" i="9"/>
  <c r="W9" i="9"/>
  <c r="W13" i="9" s="1"/>
  <c r="W22" i="9"/>
  <c r="W27" i="9" s="1"/>
  <c r="E43" i="10"/>
  <c r="D44" i="10" s="1"/>
  <c r="F43" i="10"/>
  <c r="A44" i="10"/>
  <c r="I30" i="8"/>
  <c r="I32" i="8"/>
  <c r="J31" i="8" s="1"/>
  <c r="G37" i="7"/>
  <c r="G38" i="7" s="1"/>
  <c r="G41" i="7" s="1"/>
  <c r="M89" i="4"/>
  <c r="M52" i="4"/>
  <c r="U7" i="6"/>
  <c r="U13" i="6" s="1"/>
  <c r="T14" i="2"/>
  <c r="U11" i="6" s="1"/>
  <c r="I33" i="8"/>
  <c r="J29" i="8" s="1"/>
  <c r="T24" i="16"/>
  <c r="T11" i="16"/>
  <c r="T12" i="16" s="1"/>
  <c r="T21" i="16" s="1"/>
  <c r="S14" i="13"/>
  <c r="S15" i="13" s="1"/>
  <c r="T13" i="13"/>
  <c r="X3" i="6"/>
  <c r="W32" i="6"/>
  <c r="W46" i="6"/>
  <c r="W33" i="6"/>
  <c r="X4" i="4"/>
  <c r="V3" i="3"/>
  <c r="V3" i="5"/>
  <c r="T14" i="6"/>
  <c r="S19" i="3"/>
  <c r="S22" i="3" s="1"/>
  <c r="T10" i="2"/>
  <c r="S27" i="5"/>
  <c r="K68" i="6"/>
  <c r="K69" i="6" s="1"/>
  <c r="K10" i="7"/>
  <c r="Y12" i="7"/>
  <c r="Y22" i="7"/>
  <c r="Y7" i="7"/>
  <c r="Y13" i="7"/>
  <c r="Z3" i="7"/>
  <c r="Y8" i="7"/>
  <c r="Y60" i="8" s="1"/>
  <c r="Y6" i="7"/>
  <c r="Y9" i="7"/>
  <c r="Y32" i="7"/>
  <c r="Z29" i="7" s="1"/>
  <c r="Y10" i="7"/>
  <c r="Y20" i="7"/>
  <c r="V6" i="6"/>
  <c r="U13" i="2"/>
  <c r="V43" i="3"/>
  <c r="V44" i="3" s="1"/>
  <c r="V38" i="3" s="1"/>
  <c r="V42" i="3"/>
  <c r="V47" i="3"/>
  <c r="W4" i="2"/>
  <c r="V6" i="2"/>
  <c r="V7" i="2"/>
  <c r="U19" i="3" l="1"/>
  <c r="U22" i="3" s="1"/>
  <c r="U28" i="3" s="1"/>
  <c r="S44" i="2"/>
  <c r="D45" i="10"/>
  <c r="X30" i="7"/>
  <c r="W27" i="7"/>
  <c r="W31" i="7" s="1"/>
  <c r="F44" i="10"/>
  <c r="E44" i="10"/>
  <c r="A45" i="10"/>
  <c r="D34" i="16"/>
  <c r="D35" i="16" s="1"/>
  <c r="D44" i="7"/>
  <c r="Q61" i="6"/>
  <c r="Q8" i="15"/>
  <c r="Q13" i="8"/>
  <c r="P21" i="2"/>
  <c r="Y45" i="8"/>
  <c r="Y46" i="8" s="1"/>
  <c r="Y49" i="8" s="1"/>
  <c r="Y54" i="8" s="1"/>
  <c r="Y21" i="7" s="1"/>
  <c r="Y59" i="8" s="1"/>
  <c r="Y61" i="8" s="1"/>
  <c r="W34" i="6"/>
  <c r="V30" i="2" s="1"/>
  <c r="B30" i="2" s="1"/>
  <c r="V11" i="13"/>
  <c r="C32" i="6"/>
  <c r="X8" i="9"/>
  <c r="X12" i="9" s="1"/>
  <c r="X20" i="9"/>
  <c r="X25" i="9" s="1"/>
  <c r="X7" i="9"/>
  <c r="X11" i="9" s="1"/>
  <c r="X9" i="9"/>
  <c r="X13" i="9" s="1"/>
  <c r="X51" i="9"/>
  <c r="X57" i="9" s="1"/>
  <c r="X22" i="9"/>
  <c r="X27" i="9" s="1"/>
  <c r="X21" i="9"/>
  <c r="X26" i="9" s="1"/>
  <c r="J35" i="8"/>
  <c r="J37" i="8" s="1"/>
  <c r="J32" i="8"/>
  <c r="K31" i="8" s="1"/>
  <c r="J30" i="8"/>
  <c r="U14" i="6"/>
  <c r="X7" i="5"/>
  <c r="X15" i="5"/>
  <c r="U24" i="16"/>
  <c r="U11" i="16"/>
  <c r="U12" i="16" s="1"/>
  <c r="U21" i="16" s="1"/>
  <c r="T14" i="13"/>
  <c r="T15" i="13" s="1"/>
  <c r="U13" i="13"/>
  <c r="R31" i="3"/>
  <c r="U10" i="2"/>
  <c r="T48" i="2"/>
  <c r="O75" i="4"/>
  <c r="O72" i="4"/>
  <c r="N58" i="4"/>
  <c r="N62" i="4" s="1"/>
  <c r="T38" i="2"/>
  <c r="T53" i="2" s="1"/>
  <c r="Q42" i="2"/>
  <c r="Q45" i="2" s="1"/>
  <c r="Q47" i="2" s="1"/>
  <c r="Q57" i="2"/>
  <c r="X28" i="4"/>
  <c r="X34" i="4"/>
  <c r="X20" i="4"/>
  <c r="X37" i="4" s="1"/>
  <c r="X36" i="4"/>
  <c r="X12" i="4"/>
  <c r="X9" i="4"/>
  <c r="X19" i="4"/>
  <c r="X38" i="4"/>
  <c r="X84" i="4"/>
  <c r="X26" i="4"/>
  <c r="X27" i="4" s="1"/>
  <c r="X29" i="4"/>
  <c r="X8" i="4"/>
  <c r="X69" i="4"/>
  <c r="X35" i="4"/>
  <c r="X99" i="4"/>
  <c r="X10" i="4"/>
  <c r="X14" i="4"/>
  <c r="X13" i="4"/>
  <c r="V47" i="6"/>
  <c r="V37" i="6"/>
  <c r="V41" i="6"/>
  <c r="V45" i="6"/>
  <c r="V50" i="6"/>
  <c r="V38" i="6"/>
  <c r="U38" i="2" s="1"/>
  <c r="U53" i="2" s="1"/>
  <c r="V48" i="6"/>
  <c r="V39" i="6"/>
  <c r="V49" i="6"/>
  <c r="W27" i="4"/>
  <c r="N67" i="6"/>
  <c r="O6" i="4"/>
  <c r="M37" i="17"/>
  <c r="M38" i="17" s="1"/>
  <c r="M42" i="17" s="1"/>
  <c r="M41" i="5"/>
  <c r="N64" i="6"/>
  <c r="N60" i="4"/>
  <c r="U51" i="6"/>
  <c r="T39" i="2" s="1"/>
  <c r="T54" i="2" s="1"/>
  <c r="X11" i="5"/>
  <c r="Y11" i="15"/>
  <c r="S28" i="3"/>
  <c r="T27" i="6"/>
  <c r="T25" i="6"/>
  <c r="T28" i="6" s="1"/>
  <c r="T26" i="6"/>
  <c r="X14" i="9"/>
  <c r="W11" i="9"/>
  <c r="W16" i="9" s="1"/>
  <c r="W44" i="8" s="1"/>
  <c r="W8" i="3"/>
  <c r="W17" i="3"/>
  <c r="W20" i="3" s="1"/>
  <c r="X14" i="6" s="1"/>
  <c r="X15" i="6"/>
  <c r="X16" i="2"/>
  <c r="O67" i="6"/>
  <c r="P6" i="4"/>
  <c r="N37" i="17"/>
  <c r="N38" i="17" s="1"/>
  <c r="N42" i="17" s="1"/>
  <c r="N41" i="5"/>
  <c r="O64" i="6"/>
  <c r="Q60" i="4"/>
  <c r="Q16" i="4"/>
  <c r="Q21" i="4" s="1"/>
  <c r="Q45" i="4" s="1"/>
  <c r="V16" i="16"/>
  <c r="V17" i="16" s="1"/>
  <c r="V63" i="6"/>
  <c r="H17" i="5"/>
  <c r="I17" i="5"/>
  <c r="H16" i="5"/>
  <c r="W102" i="4"/>
  <c r="W104" i="4" s="1"/>
  <c r="W105" i="4"/>
  <c r="X101" i="4" s="1"/>
  <c r="E36" i="7"/>
  <c r="E11" i="15"/>
  <c r="D11" i="5"/>
  <c r="AA3" i="8"/>
  <c r="Z30" i="8"/>
  <c r="Z51" i="8"/>
  <c r="Z9" i="8"/>
  <c r="Z10" i="8" s="1"/>
  <c r="Z22" i="8"/>
  <c r="Z23" i="8" s="1"/>
  <c r="Z25" i="8" s="1"/>
  <c r="Z52" i="8"/>
  <c r="Z14" i="8"/>
  <c r="Z26" i="8"/>
  <c r="Z44" i="8"/>
  <c r="Z48" i="8"/>
  <c r="Z32" i="8"/>
  <c r="V45" i="9"/>
  <c r="U42" i="6"/>
  <c r="T31" i="2" s="1"/>
  <c r="K18" i="8"/>
  <c r="K6" i="7"/>
  <c r="K71" i="6"/>
  <c r="K60" i="8" s="1"/>
  <c r="U40" i="6"/>
  <c r="T43" i="2"/>
  <c r="T49" i="2"/>
  <c r="L66" i="6"/>
  <c r="L11" i="7"/>
  <c r="W4" i="16"/>
  <c r="W5" i="2"/>
  <c r="W7" i="15"/>
  <c r="V64" i="2"/>
  <c r="V63" i="2"/>
  <c r="U26" i="3"/>
  <c r="V26" i="6"/>
  <c r="V27" i="6"/>
  <c r="V25" i="6"/>
  <c r="K35" i="5"/>
  <c r="K36" i="5" s="1"/>
  <c r="M54" i="4"/>
  <c r="K23" i="5" s="1"/>
  <c r="F37" i="7"/>
  <c r="F38" i="7" s="1"/>
  <c r="F41" i="7" s="1"/>
  <c r="T27" i="3"/>
  <c r="T32" i="3" s="1"/>
  <c r="T31" i="3"/>
  <c r="G44" i="7"/>
  <c r="C57" i="9"/>
  <c r="U15" i="1" s="1"/>
  <c r="X9" i="7"/>
  <c r="X35" i="9"/>
  <c r="X39" i="9" s="1"/>
  <c r="X36" i="9"/>
  <c r="X40" i="9" s="1"/>
  <c r="X34" i="9"/>
  <c r="X38" i="9" s="1"/>
  <c r="X43" i="9" s="1"/>
  <c r="I7" i="5"/>
  <c r="I15" i="5"/>
  <c r="W6" i="6"/>
  <c r="V13" i="2"/>
  <c r="T27" i="5"/>
  <c r="H8" i="5"/>
  <c r="H9" i="5"/>
  <c r="I8" i="5"/>
  <c r="I9" i="5"/>
  <c r="Q24" i="2"/>
  <c r="R12" i="6" s="1"/>
  <c r="Q34" i="3"/>
  <c r="Q36" i="3" s="1"/>
  <c r="R23" i="6" s="1"/>
  <c r="R29" i="6" s="1"/>
  <c r="R58" i="6" s="1"/>
  <c r="R9" i="15" s="1"/>
  <c r="Q27" i="3"/>
  <c r="Q32" i="3" s="1"/>
  <c r="Q58" i="2"/>
  <c r="AA3" i="7"/>
  <c r="Z10" i="7"/>
  <c r="Z6" i="7"/>
  <c r="Z12" i="7"/>
  <c r="Z22" i="7"/>
  <c r="Z7" i="7"/>
  <c r="Z8" i="7"/>
  <c r="Z60" i="8" s="1"/>
  <c r="Z9" i="7"/>
  <c r="Z13" i="7"/>
  <c r="Z20" i="7"/>
  <c r="Z32" i="7"/>
  <c r="AA29" i="7" s="1"/>
  <c r="X41" i="9"/>
  <c r="W38" i="9"/>
  <c r="W43" i="9" s="1"/>
  <c r="N90" i="4"/>
  <c r="N87" i="4"/>
  <c r="N51" i="4"/>
  <c r="U66" i="2"/>
  <c r="T29" i="3"/>
  <c r="V7" i="6"/>
  <c r="V40" i="6" s="1"/>
  <c r="U14" i="2"/>
  <c r="V11" i="6" s="1"/>
  <c r="W5" i="6"/>
  <c r="V8" i="2"/>
  <c r="V10" i="2" s="1"/>
  <c r="V9" i="2"/>
  <c r="X32" i="6"/>
  <c r="X37" i="6"/>
  <c r="X41" i="6"/>
  <c r="X46" i="6"/>
  <c r="X38" i="6"/>
  <c r="X49" i="6"/>
  <c r="X33" i="6"/>
  <c r="X39" i="6"/>
  <c r="X53" i="6"/>
  <c r="X47" i="6"/>
  <c r="X48" i="6"/>
  <c r="X50" i="6"/>
  <c r="X40" i="6"/>
  <c r="X45" i="6"/>
  <c r="W3" i="3"/>
  <c r="Y4" i="4"/>
  <c r="W3" i="5"/>
  <c r="J33" i="8"/>
  <c r="K29" i="8" s="1"/>
  <c r="X16" i="6"/>
  <c r="X17" i="2"/>
  <c r="H45" i="8"/>
  <c r="H46" i="8" s="1"/>
  <c r="H49" i="8" s="1"/>
  <c r="L30" i="5"/>
  <c r="L31" i="5" s="1"/>
  <c r="U25" i="6"/>
  <c r="U65" i="2"/>
  <c r="U21" i="8"/>
  <c r="U42" i="8" s="1"/>
  <c r="U7" i="7"/>
  <c r="W43" i="3"/>
  <c r="W44" i="3" s="1"/>
  <c r="X4" i="2"/>
  <c r="W42" i="3"/>
  <c r="W7" i="2"/>
  <c r="V12" i="3"/>
  <c r="V4" i="13"/>
  <c r="V11" i="3"/>
  <c r="V10" i="3"/>
  <c r="V33" i="3"/>
  <c r="V21" i="3"/>
  <c r="W53" i="6"/>
  <c r="I35" i="8"/>
  <c r="I37" i="8" s="1"/>
  <c r="X28" i="9"/>
  <c r="W25" i="9"/>
  <c r="W30" i="9" s="1"/>
  <c r="W22" i="8" s="1"/>
  <c r="D38" i="7"/>
  <c r="D41" i="7" s="1"/>
  <c r="D42" i="7" s="1"/>
  <c r="E40" i="7" s="1"/>
  <c r="F26" i="16"/>
  <c r="F30" i="16" s="1"/>
  <c r="G63" i="8"/>
  <c r="G26" i="16" s="1"/>
  <c r="G30" i="16" s="1"/>
  <c r="S28" i="6"/>
  <c r="U26" i="6"/>
  <c r="U28" i="6" l="1"/>
  <c r="W16" i="16"/>
  <c r="W17" i="16" s="1"/>
  <c r="W63" i="6"/>
  <c r="U31" i="3"/>
  <c r="K20" i="7"/>
  <c r="K13" i="7"/>
  <c r="F13" i="5"/>
  <c r="E12" i="5"/>
  <c r="D13" i="5"/>
  <c r="D12" i="5"/>
  <c r="F12" i="5"/>
  <c r="E13" i="5"/>
  <c r="Y30" i="7"/>
  <c r="X27" i="7"/>
  <c r="X31" i="7" s="1"/>
  <c r="X25" i="2"/>
  <c r="X24" i="2"/>
  <c r="X21" i="2"/>
  <c r="X23" i="2"/>
  <c r="X12" i="2" s="1"/>
  <c r="X6" i="2"/>
  <c r="X7" i="2"/>
  <c r="X13" i="2" s="1"/>
  <c r="L68" i="6"/>
  <c r="L69" i="6" s="1"/>
  <c r="L10" i="7"/>
  <c r="S31" i="3"/>
  <c r="X30" i="4"/>
  <c r="D36" i="16"/>
  <c r="D38" i="16" s="1"/>
  <c r="S29" i="6"/>
  <c r="S58" i="6" s="1"/>
  <c r="S9" i="15" s="1"/>
  <c r="R29" i="2"/>
  <c r="Y9" i="4"/>
  <c r="Y16" i="4"/>
  <c r="Y20" i="4"/>
  <c r="H20" i="4" s="1"/>
  <c r="B20" i="4" s="1"/>
  <c r="E34" i="4" s="1"/>
  <c r="Y30" i="4"/>
  <c r="Y36" i="4"/>
  <c r="Y42" i="4"/>
  <c r="Y10" i="4"/>
  <c r="Y21" i="4"/>
  <c r="Y28" i="4"/>
  <c r="Y34" i="4"/>
  <c r="Y45" i="4"/>
  <c r="Y99" i="4"/>
  <c r="C106" i="4" s="1"/>
  <c r="H45" i="1" s="1"/>
  <c r="Y35" i="4"/>
  <c r="Y38" i="4"/>
  <c r="Y8" i="4"/>
  <c r="Y12" i="4"/>
  <c r="Y69" i="4"/>
  <c r="C76" i="4" s="1"/>
  <c r="F45" i="1" s="1"/>
  <c r="Y19" i="4"/>
  <c r="Y26" i="4"/>
  <c r="Y27" i="4" s="1"/>
  <c r="Y84" i="4"/>
  <c r="C91" i="4" s="1"/>
  <c r="G45" i="1" s="1"/>
  <c r="Y29" i="4"/>
  <c r="Y43" i="4"/>
  <c r="Y13" i="4"/>
  <c r="Y14" i="4"/>
  <c r="V51" i="6"/>
  <c r="U39" i="2" s="1"/>
  <c r="U54" i="2" s="1"/>
  <c r="R23" i="2"/>
  <c r="R24" i="2"/>
  <c r="S12" i="6" s="1"/>
  <c r="R34" i="3"/>
  <c r="R36" i="3" s="1"/>
  <c r="S23" i="6" s="1"/>
  <c r="R27" i="3"/>
  <c r="R58" i="2"/>
  <c r="U48" i="2"/>
  <c r="H51" i="8"/>
  <c r="H52" i="8" s="1"/>
  <c r="H54" i="8" s="1"/>
  <c r="H21" i="7" s="1"/>
  <c r="W21" i="3"/>
  <c r="W22" i="3" s="1"/>
  <c r="W28" i="3" s="1"/>
  <c r="W33" i="3"/>
  <c r="W29" i="3"/>
  <c r="W11" i="3"/>
  <c r="W12" i="3" s="1"/>
  <c r="W19" i="3"/>
  <c r="W10" i="3"/>
  <c r="W4" i="13"/>
  <c r="W32" i="3"/>
  <c r="W49" i="2"/>
  <c r="K34" i="2"/>
  <c r="K35" i="2" s="1"/>
  <c r="K24" i="5"/>
  <c r="K50" i="2"/>
  <c r="K51" i="2" s="1"/>
  <c r="W45" i="9"/>
  <c r="X45" i="9" s="1"/>
  <c r="R29" i="3"/>
  <c r="U49" i="2"/>
  <c r="P16" i="4"/>
  <c r="P21" i="4" s="1"/>
  <c r="P45" i="4" s="1"/>
  <c r="V42" i="6"/>
  <c r="U31" i="2" s="1"/>
  <c r="V11" i="16"/>
  <c r="V12" i="16" s="1"/>
  <c r="V21" i="16" s="1"/>
  <c r="V24" i="16"/>
  <c r="U14" i="13"/>
  <c r="U15" i="13" s="1"/>
  <c r="V13" i="13"/>
  <c r="X16" i="9"/>
  <c r="E42" i="7"/>
  <c r="F40" i="7" s="1"/>
  <c r="F42" i="7" s="1"/>
  <c r="G40" i="7" s="1"/>
  <c r="G42" i="7" s="1"/>
  <c r="H40" i="7" s="1"/>
  <c r="N89" i="4"/>
  <c r="N52" i="4"/>
  <c r="AA32" i="7"/>
  <c r="AB29" i="7" s="1"/>
  <c r="AA6" i="7"/>
  <c r="AB3" i="7"/>
  <c r="AA12" i="7"/>
  <c r="AA13" i="7"/>
  <c r="AA22" i="7"/>
  <c r="AA7" i="7"/>
  <c r="AA10" i="7"/>
  <c r="AA20" i="7"/>
  <c r="AA8" i="7"/>
  <c r="AA60" i="8" s="1"/>
  <c r="AA9" i="7"/>
  <c r="V28" i="6"/>
  <c r="X4" i="16"/>
  <c r="X5" i="2"/>
  <c r="W63" i="2"/>
  <c r="X7" i="15"/>
  <c r="W64" i="2"/>
  <c r="I16" i="5"/>
  <c r="V21" i="8"/>
  <c r="V42" i="8" s="1"/>
  <c r="V7" i="7"/>
  <c r="O74" i="4"/>
  <c r="X30" i="9"/>
  <c r="V13" i="6"/>
  <c r="U29" i="3"/>
  <c r="X42" i="6"/>
  <c r="Y11" i="5"/>
  <c r="Q23" i="2"/>
  <c r="F44" i="7"/>
  <c r="K20" i="8"/>
  <c r="K23" i="8" s="1"/>
  <c r="K25" i="8" s="1"/>
  <c r="K27" i="8" s="1"/>
  <c r="K41" i="8"/>
  <c r="K43" i="8" s="1"/>
  <c r="D46" i="10"/>
  <c r="X34" i="6"/>
  <c r="W30" i="2" s="1"/>
  <c r="W43" i="2" s="1"/>
  <c r="W11" i="13"/>
  <c r="V65" i="2"/>
  <c r="B65" i="2" s="1"/>
  <c r="B63" i="2"/>
  <c r="I32" i="1" s="1"/>
  <c r="T44" i="2"/>
  <c r="T58" i="2"/>
  <c r="E37" i="7"/>
  <c r="E38" i="7"/>
  <c r="E41" i="7" s="1"/>
  <c r="O16" i="4"/>
  <c r="O21" i="4" s="1"/>
  <c r="E45" i="10"/>
  <c r="F45" i="10"/>
  <c r="A46" i="10"/>
  <c r="X6" i="6"/>
  <c r="W10" i="2"/>
  <c r="W13" i="2"/>
  <c r="W9" i="2"/>
  <c r="Y7" i="5"/>
  <c r="Y15" i="5"/>
  <c r="V14" i="6"/>
  <c r="I45" i="8"/>
  <c r="I46" i="8" s="1"/>
  <c r="I49" i="8" s="1"/>
  <c r="X16" i="16"/>
  <c r="X17" i="16" s="1"/>
  <c r="V32" i="2"/>
  <c r="V22" i="17"/>
  <c r="C53" i="6"/>
  <c r="W8" i="7"/>
  <c r="V26" i="3"/>
  <c r="W32" i="2"/>
  <c r="W48" i="2" s="1"/>
  <c r="W22" i="17"/>
  <c r="X8" i="7"/>
  <c r="W38" i="3"/>
  <c r="W49" i="3"/>
  <c r="X63" i="6"/>
  <c r="V66" i="2"/>
  <c r="B66" i="2" s="1"/>
  <c r="B64" i="2"/>
  <c r="Z27" i="8"/>
  <c r="Z35" i="8" s="1"/>
  <c r="Z37" i="8" s="1"/>
  <c r="X102" i="4"/>
  <c r="X104" i="4" s="1"/>
  <c r="X105" i="4"/>
  <c r="Y101" i="4" s="1"/>
  <c r="X51" i="6"/>
  <c r="W39" i="2" s="1"/>
  <c r="W54" i="2" s="1"/>
  <c r="W38" i="2"/>
  <c r="W53" i="2" s="1"/>
  <c r="W7" i="6"/>
  <c r="V27" i="5" s="1"/>
  <c r="V14" i="2"/>
  <c r="W11" i="6" s="1"/>
  <c r="O86" i="4"/>
  <c r="N55" i="4"/>
  <c r="M28" i="16" s="1"/>
  <c r="S29" i="2"/>
  <c r="J45" i="8"/>
  <c r="J46" i="8" s="1"/>
  <c r="J49" i="8" s="1"/>
  <c r="U27" i="5"/>
  <c r="V20" i="3"/>
  <c r="W49" i="6"/>
  <c r="W47" i="6"/>
  <c r="W50" i="6"/>
  <c r="W48" i="6"/>
  <c r="W39" i="6"/>
  <c r="C39" i="6" s="1"/>
  <c r="W37" i="6"/>
  <c r="W45" i="6"/>
  <c r="W41" i="6"/>
  <c r="C41" i="6" s="1"/>
  <c r="W38" i="6"/>
  <c r="U43" i="2"/>
  <c r="T24" i="2"/>
  <c r="U12" i="6" s="1"/>
  <c r="T34" i="3"/>
  <c r="T36" i="3" s="1"/>
  <c r="U23" i="6" s="1"/>
  <c r="K72" i="6"/>
  <c r="AA48" i="8"/>
  <c r="AB3" i="8"/>
  <c r="AA30" i="8"/>
  <c r="AA51" i="8"/>
  <c r="AA9" i="8"/>
  <c r="AA10" i="8" s="1"/>
  <c r="AA22" i="8"/>
  <c r="AA23" i="8" s="1"/>
  <c r="AA25" i="8" s="1"/>
  <c r="AA52" i="8"/>
  <c r="AA32" i="8"/>
  <c r="AA26" i="8"/>
  <c r="AA14" i="8"/>
  <c r="AA44" i="8"/>
  <c r="Q58" i="4"/>
  <c r="Q62" i="4" s="1"/>
  <c r="Q59" i="2"/>
  <c r="P71" i="4"/>
  <c r="Q67" i="6"/>
  <c r="R6" i="4"/>
  <c r="P41" i="5"/>
  <c r="P37" i="17"/>
  <c r="P38" i="17" s="1"/>
  <c r="P42" i="17" s="1"/>
  <c r="Q64" i="6"/>
  <c r="V15" i="13" l="1"/>
  <c r="W26" i="3"/>
  <c r="X26" i="6"/>
  <c r="X27" i="6"/>
  <c r="X25" i="6"/>
  <c r="X28" i="6" s="1"/>
  <c r="H59" i="8"/>
  <c r="H61" i="8" s="1"/>
  <c r="H63" i="8" s="1"/>
  <c r="H26" i="16" s="1"/>
  <c r="H30" i="16" s="1"/>
  <c r="H22" i="7"/>
  <c r="O45" i="4"/>
  <c r="W66" i="2"/>
  <c r="L35" i="5"/>
  <c r="L36" i="5" s="1"/>
  <c r="N54" i="4"/>
  <c r="L23" i="5" s="1"/>
  <c r="E34" i="16"/>
  <c r="E44" i="7"/>
  <c r="E35" i="4"/>
  <c r="E38" i="4"/>
  <c r="F34" i="4" s="1"/>
  <c r="J15" i="5"/>
  <c r="J7" i="5"/>
  <c r="X21" i="8"/>
  <c r="X42" i="8" s="1"/>
  <c r="X7" i="7"/>
  <c r="M30" i="5"/>
  <c r="M31" i="5" s="1"/>
  <c r="R76" i="2"/>
  <c r="R12" i="2"/>
  <c r="S10" i="6" s="1"/>
  <c r="S17" i="6" s="1"/>
  <c r="R25" i="2"/>
  <c r="K10" i="15"/>
  <c r="S42" i="2"/>
  <c r="S45" i="2" s="1"/>
  <c r="S47" i="2" s="1"/>
  <c r="S57" i="2"/>
  <c r="S59" i="2" s="1"/>
  <c r="P60" i="4"/>
  <c r="Y44" i="4"/>
  <c r="Y46" i="4" s="1"/>
  <c r="Y58" i="4"/>
  <c r="Y62" i="4" s="1"/>
  <c r="V38" i="2"/>
  <c r="C38" i="6"/>
  <c r="W31" i="2"/>
  <c r="AB9" i="7"/>
  <c r="AB10" i="7"/>
  <c r="AB20" i="7"/>
  <c r="AB6" i="7"/>
  <c r="AB32" i="7"/>
  <c r="AB7" i="7"/>
  <c r="AB13" i="7"/>
  <c r="AB12" i="7"/>
  <c r="AB22" i="7"/>
  <c r="AB8" i="7"/>
  <c r="AB60" i="8" s="1"/>
  <c r="W11" i="16"/>
  <c r="W12" i="16" s="1"/>
  <c r="W21" i="16" s="1"/>
  <c r="W24" i="16"/>
  <c r="W13" i="13"/>
  <c r="V14" i="13"/>
  <c r="S24" i="2"/>
  <c r="T12" i="6" s="1"/>
  <c r="S34" i="3"/>
  <c r="S36" i="3" s="1"/>
  <c r="T23" i="6" s="1"/>
  <c r="T29" i="6" s="1"/>
  <c r="T58" i="6" s="1"/>
  <c r="T9" i="15" s="1"/>
  <c r="S27" i="3"/>
  <c r="S32" i="3" s="1"/>
  <c r="S58" i="2"/>
  <c r="P75" i="4"/>
  <c r="P72" i="4"/>
  <c r="T23" i="2"/>
  <c r="W14" i="6"/>
  <c r="V19" i="3"/>
  <c r="V22" i="3" s="1"/>
  <c r="Z21" i="7"/>
  <c r="Z59" i="8" s="1"/>
  <c r="Z61" i="8" s="1"/>
  <c r="Z45" i="8"/>
  <c r="Z46" i="8" s="1"/>
  <c r="Z49" i="8" s="1"/>
  <c r="Z54" i="8" s="1"/>
  <c r="F46" i="10"/>
  <c r="A47" i="10"/>
  <c r="E46" i="10"/>
  <c r="U29" i="2"/>
  <c r="Z15" i="5"/>
  <c r="Z7" i="5"/>
  <c r="S29" i="3"/>
  <c r="U24" i="2"/>
  <c r="V12" i="6" s="1"/>
  <c r="U34" i="3"/>
  <c r="U36" i="3" s="1"/>
  <c r="V23" i="6" s="1"/>
  <c r="V29" i="6" s="1"/>
  <c r="V58" i="6" s="1"/>
  <c r="V9" i="15" s="1"/>
  <c r="W40" i="6"/>
  <c r="C40" i="6" s="1"/>
  <c r="V49" i="2"/>
  <c r="B49" i="2" s="1"/>
  <c r="U58" i="2"/>
  <c r="U44" i="2"/>
  <c r="R16" i="4"/>
  <c r="R21" i="4" s="1"/>
  <c r="R45" i="4" s="1"/>
  <c r="O60" i="4"/>
  <c r="Q12" i="2"/>
  <c r="R10" i="6" s="1"/>
  <c r="R17" i="6" s="1"/>
  <c r="Q76" i="2"/>
  <c r="Q25" i="2"/>
  <c r="Z11" i="5"/>
  <c r="I51" i="8"/>
  <c r="U29" i="6"/>
  <c r="U58" i="6" s="1"/>
  <c r="U9" i="15" s="1"/>
  <c r="T29" i="2"/>
  <c r="I52" i="8"/>
  <c r="I54" i="8" s="1"/>
  <c r="I21" i="7" s="1"/>
  <c r="W14" i="2"/>
  <c r="X11" i="6" s="1"/>
  <c r="W65" i="2"/>
  <c r="AA27" i="8"/>
  <c r="AA35" i="8" s="1"/>
  <c r="AA37" i="8" s="1"/>
  <c r="Y105" i="4"/>
  <c r="Z101" i="4" s="1"/>
  <c r="Y102" i="4"/>
  <c r="Y104" i="4" s="1"/>
  <c r="V43" i="2"/>
  <c r="B43" i="2" s="1"/>
  <c r="X64" i="2"/>
  <c r="X63" i="2"/>
  <c r="X65" i="2" s="1"/>
  <c r="Y7" i="15"/>
  <c r="W51" i="6"/>
  <c r="V39" i="2" s="1"/>
  <c r="C45" i="6"/>
  <c r="O87" i="4"/>
  <c r="O90" i="4"/>
  <c r="O51" i="4"/>
  <c r="K35" i="8"/>
  <c r="K37" i="8" s="1"/>
  <c r="K32" i="8"/>
  <c r="K30" i="8"/>
  <c r="R32" i="3"/>
  <c r="Y37" i="4"/>
  <c r="U27" i="3"/>
  <c r="U32" i="3" s="1"/>
  <c r="P58" i="4"/>
  <c r="P62" i="4" s="1"/>
  <c r="X8" i="2"/>
  <c r="X14" i="2" s="1"/>
  <c r="X9" i="2"/>
  <c r="X10" i="2"/>
  <c r="W27" i="5"/>
  <c r="X13" i="6"/>
  <c r="D47" i="10"/>
  <c r="AB48" i="8"/>
  <c r="AB30" i="8"/>
  <c r="AB51" i="8"/>
  <c r="AB32" i="8"/>
  <c r="AB52" i="8"/>
  <c r="AB22" i="8"/>
  <c r="AB23" i="8" s="1"/>
  <c r="AB25" i="8" s="1"/>
  <c r="AB27" i="8" s="1"/>
  <c r="AB35" i="8" s="1"/>
  <c r="AB37" i="8" s="1"/>
  <c r="AB9" i="8"/>
  <c r="AB10" i="8" s="1"/>
  <c r="AB26" i="8"/>
  <c r="AB44" i="8"/>
  <c r="AB14" i="8"/>
  <c r="C37" i="6"/>
  <c r="B32" i="2"/>
  <c r="V48" i="2"/>
  <c r="B48" i="2" s="1"/>
  <c r="M66" i="6"/>
  <c r="M11" i="7"/>
  <c r="W13" i="6"/>
  <c r="R42" i="2"/>
  <c r="R45" i="2" s="1"/>
  <c r="R47" i="2" s="1"/>
  <c r="R57" i="2"/>
  <c r="R59" i="2" s="1"/>
  <c r="L18" i="8"/>
  <c r="L6" i="7"/>
  <c r="L71" i="6"/>
  <c r="L60" i="8" s="1"/>
  <c r="Y27" i="7"/>
  <c r="Y31" i="7" s="1"/>
  <c r="Y36" i="7" s="1"/>
  <c r="W21" i="8"/>
  <c r="W42" i="8" s="1"/>
  <c r="W7" i="7"/>
  <c r="I59" i="8" l="1"/>
  <c r="I61" i="8" s="1"/>
  <c r="I63" i="8" s="1"/>
  <c r="I26" i="16" s="1"/>
  <c r="I30" i="16" s="1"/>
  <c r="I22" i="7"/>
  <c r="W29" i="2"/>
  <c r="L34" i="2"/>
  <c r="L35" i="2" s="1"/>
  <c r="L24" i="5"/>
  <c r="L50" i="2"/>
  <c r="L51" i="2" s="1"/>
  <c r="T57" i="2"/>
  <c r="T59" i="2" s="1"/>
  <c r="T42" i="2"/>
  <c r="T45" i="2" s="1"/>
  <c r="T47" i="2" s="1"/>
  <c r="T12" i="2"/>
  <c r="U10" i="6" s="1"/>
  <c r="U17" i="6" s="1"/>
  <c r="T76" i="2"/>
  <c r="T25" i="2"/>
  <c r="J17" i="5"/>
  <c r="J16" i="5"/>
  <c r="W31" i="3"/>
  <c r="W27" i="3" s="1"/>
  <c r="R58" i="4"/>
  <c r="R62" i="4" s="1"/>
  <c r="P74" i="4"/>
  <c r="F38" i="4"/>
  <c r="G34" i="4" s="1"/>
  <c r="F35" i="4"/>
  <c r="AB45" i="8"/>
  <c r="AB46" i="8" s="1"/>
  <c r="AB49" i="8" s="1"/>
  <c r="AB54" i="8" s="1"/>
  <c r="AB21" i="7" s="1"/>
  <c r="AB59" i="8" s="1"/>
  <c r="AB61" i="8" s="1"/>
  <c r="V28" i="3"/>
  <c r="W26" i="6"/>
  <c r="W27" i="6"/>
  <c r="W25" i="6"/>
  <c r="X66" i="2"/>
  <c r="S61" i="6"/>
  <c r="S8" i="15"/>
  <c r="S13" i="8"/>
  <c r="R21" i="2"/>
  <c r="J9" i="5"/>
  <c r="J8" i="5"/>
  <c r="U23" i="2"/>
  <c r="S23" i="2"/>
  <c r="AA11" i="5"/>
  <c r="W42" i="6"/>
  <c r="V31" i="2" s="1"/>
  <c r="L72" i="6"/>
  <c r="V54" i="2"/>
  <c r="B54" i="2" s="1"/>
  <c r="B39" i="2"/>
  <c r="Z105" i="4"/>
  <c r="AA101" i="4" s="1"/>
  <c r="Z102" i="4"/>
  <c r="Z104" i="4" s="1"/>
  <c r="J51" i="8"/>
  <c r="R60" i="4"/>
  <c r="A48" i="10"/>
  <c r="E47" i="10"/>
  <c r="F47" i="10"/>
  <c r="Q71" i="4"/>
  <c r="W44" i="2"/>
  <c r="W58" i="2"/>
  <c r="E37" i="4"/>
  <c r="E19" i="4"/>
  <c r="O58" i="4"/>
  <c r="O62" i="4" s="1"/>
  <c r="M68" i="6"/>
  <c r="M69" i="6" s="1"/>
  <c r="M10" i="7"/>
  <c r="K33" i="8"/>
  <c r="L29" i="8" s="1"/>
  <c r="AA45" i="8"/>
  <c r="AA46" i="8" s="1"/>
  <c r="AA49" i="8" s="1"/>
  <c r="AA54" i="8" s="1"/>
  <c r="AA21" i="7" s="1"/>
  <c r="AA59" i="8" s="1"/>
  <c r="AA61" i="8" s="1"/>
  <c r="X11" i="16"/>
  <c r="X12" i="16" s="1"/>
  <c r="X21" i="16" s="1"/>
  <c r="X24" i="16"/>
  <c r="W14" i="13"/>
  <c r="C7" i="7"/>
  <c r="G11" i="5"/>
  <c r="H36" i="7"/>
  <c r="H11" i="15"/>
  <c r="K45" i="8"/>
  <c r="K46" i="8" s="1"/>
  <c r="K49" i="8" s="1"/>
  <c r="U42" i="2"/>
  <c r="U45" i="2" s="1"/>
  <c r="U47" i="2" s="1"/>
  <c r="U57" i="2"/>
  <c r="U59" i="2" s="1"/>
  <c r="AA15" i="5"/>
  <c r="AA7" i="5"/>
  <c r="Y37" i="7"/>
  <c r="Y44" i="7" s="1"/>
  <c r="Y38" i="7"/>
  <c r="Y41" i="7" s="1"/>
  <c r="P86" i="4"/>
  <c r="O55" i="4"/>
  <c r="N28" i="16" s="1"/>
  <c r="R61" i="6"/>
  <c r="R8" i="15"/>
  <c r="R13" i="8"/>
  <c r="Q21" i="2"/>
  <c r="Z30" i="7"/>
  <c r="O89" i="4"/>
  <c r="O52" i="4"/>
  <c r="L20" i="7"/>
  <c r="L13" i="7"/>
  <c r="L20" i="8"/>
  <c r="L23" i="8" s="1"/>
  <c r="L25" i="8" s="1"/>
  <c r="L27" i="8" s="1"/>
  <c r="L41" i="8"/>
  <c r="L43" i="8" s="1"/>
  <c r="D48" i="10"/>
  <c r="L31" i="8"/>
  <c r="V53" i="2"/>
  <c r="B53" i="2" s="1"/>
  <c r="B38" i="2"/>
  <c r="E35" i="16"/>
  <c r="F34" i="16"/>
  <c r="Z27" i="7" l="1"/>
  <c r="Z31" i="7" s="1"/>
  <c r="Z36" i="7" s="1"/>
  <c r="L10" i="15"/>
  <c r="S67" i="6"/>
  <c r="T6" i="4"/>
  <c r="R37" i="17"/>
  <c r="R38" i="17" s="1"/>
  <c r="R42" i="17" s="1"/>
  <c r="R41" i="5"/>
  <c r="S64" i="6"/>
  <c r="H37" i="7"/>
  <c r="E29" i="4"/>
  <c r="H12" i="5"/>
  <c r="G13" i="5"/>
  <c r="G12" i="5"/>
  <c r="U61" i="6"/>
  <c r="U13" i="8"/>
  <c r="U8" i="15"/>
  <c r="T21" i="2"/>
  <c r="W57" i="2"/>
  <c r="W59" i="2" s="1"/>
  <c r="W42" i="2"/>
  <c r="W45" i="2" s="1"/>
  <c r="W47" i="2" s="1"/>
  <c r="U76" i="2"/>
  <c r="U12" i="2"/>
  <c r="V10" i="6" s="1"/>
  <c r="V17" i="6" s="1"/>
  <c r="U25" i="2"/>
  <c r="V29" i="3"/>
  <c r="V31" i="3"/>
  <c r="L30" i="8"/>
  <c r="L32" i="8"/>
  <c r="L33" i="8"/>
  <c r="M29" i="8" s="1"/>
  <c r="E48" i="10"/>
  <c r="F48" i="10"/>
  <c r="A49" i="10"/>
  <c r="B31" i="2"/>
  <c r="V58" i="2"/>
  <c r="B58" i="2" s="1"/>
  <c r="V44" i="2"/>
  <c r="B44" i="2" s="1"/>
  <c r="F35" i="16"/>
  <c r="F36" i="16" s="1"/>
  <c r="F38" i="16" s="1"/>
  <c r="G34" i="16"/>
  <c r="G35" i="16" s="1"/>
  <c r="G36" i="16" s="1"/>
  <c r="G38" i="16" s="1"/>
  <c r="K15" i="5"/>
  <c r="K7" i="5"/>
  <c r="R67" i="6"/>
  <c r="S6" i="4"/>
  <c r="Q37" i="17"/>
  <c r="Q38" i="17" s="1"/>
  <c r="Q42" i="17" s="1"/>
  <c r="Q41" i="5"/>
  <c r="R64" i="6"/>
  <c r="J52" i="8"/>
  <c r="J54" i="8" s="1"/>
  <c r="J21" i="7" s="1"/>
  <c r="W28" i="6"/>
  <c r="F37" i="4"/>
  <c r="F19" i="4"/>
  <c r="F29" i="4" s="1"/>
  <c r="W23" i="2"/>
  <c r="W24" i="2"/>
  <c r="X12" i="6" s="1"/>
  <c r="W34" i="3"/>
  <c r="W36" i="3" s="1"/>
  <c r="X23" i="6" s="1"/>
  <c r="X29" i="6" s="1"/>
  <c r="X58" i="6" s="1"/>
  <c r="X9" i="15" s="1"/>
  <c r="D49" i="10"/>
  <c r="Q72" i="4"/>
  <c r="Q75" i="4"/>
  <c r="N30" i="5"/>
  <c r="N31" i="5" s="1"/>
  <c r="E36" i="16"/>
  <c r="E38" i="16" s="1"/>
  <c r="N66" i="6"/>
  <c r="N11" i="7"/>
  <c r="M18" i="8"/>
  <c r="M6" i="7"/>
  <c r="M71" i="6"/>
  <c r="M60" i="8" s="1"/>
  <c r="M72" i="6"/>
  <c r="I36" i="7"/>
  <c r="H11" i="5"/>
  <c r="I11" i="15"/>
  <c r="G38" i="4"/>
  <c r="H34" i="4" s="1"/>
  <c r="G35" i="4"/>
  <c r="M35" i="5"/>
  <c r="M36" i="5" s="1"/>
  <c r="O54" i="4"/>
  <c r="M23" i="5" s="1"/>
  <c r="P87" i="4"/>
  <c r="P90" i="4"/>
  <c r="P51" i="4"/>
  <c r="AA105" i="4"/>
  <c r="AB101" i="4" s="1"/>
  <c r="AA102" i="4"/>
  <c r="AA104" i="4" s="1"/>
  <c r="S12" i="2"/>
  <c r="T10" i="6" s="1"/>
  <c r="T17" i="6" s="1"/>
  <c r="S76" i="2"/>
  <c r="S25" i="2"/>
  <c r="W12" i="2" l="1"/>
  <c r="X10" i="6" s="1"/>
  <c r="X17" i="6" s="1"/>
  <c r="W25" i="2"/>
  <c r="V61" i="6"/>
  <c r="V13" i="8"/>
  <c r="V8" i="15"/>
  <c r="U21" i="2"/>
  <c r="H13" i="5"/>
  <c r="AA30" i="7"/>
  <c r="N68" i="6"/>
  <c r="N69" i="6" s="1"/>
  <c r="N10" i="7"/>
  <c r="Q74" i="4"/>
  <c r="H44" i="7"/>
  <c r="H34" i="16"/>
  <c r="H35" i="16" s="1"/>
  <c r="H36" i="16" s="1"/>
  <c r="H38" i="16" s="1"/>
  <c r="I37" i="7"/>
  <c r="I38" i="7"/>
  <c r="I41" i="7" s="1"/>
  <c r="U67" i="6"/>
  <c r="V6" i="4"/>
  <c r="T37" i="17"/>
  <c r="T38" i="17" s="1"/>
  <c r="T42" i="17" s="1"/>
  <c r="T41" i="5"/>
  <c r="U64" i="6"/>
  <c r="M10" i="15"/>
  <c r="F58" i="4"/>
  <c r="F62" i="4" s="1"/>
  <c r="S60" i="4"/>
  <c r="S16" i="4"/>
  <c r="S21" i="4" s="1"/>
  <c r="S45" i="4" s="1"/>
  <c r="M31" i="8"/>
  <c r="M34" i="2"/>
  <c r="M35" i="2" s="1"/>
  <c r="M24" i="5"/>
  <c r="M50" i="2"/>
  <c r="M51" i="2" s="1"/>
  <c r="V29" i="2"/>
  <c r="C28" i="6"/>
  <c r="J59" i="8"/>
  <c r="J61" i="8" s="1"/>
  <c r="J63" i="8" s="1"/>
  <c r="J26" i="16" s="1"/>
  <c r="J30" i="16" s="1"/>
  <c r="J22" i="7"/>
  <c r="E49" i="10"/>
  <c r="A50" i="10"/>
  <c r="F49" i="10"/>
  <c r="L35" i="8"/>
  <c r="L37" i="8" s="1"/>
  <c r="T61" i="6"/>
  <c r="T13" i="8"/>
  <c r="T8" i="15"/>
  <c r="S21" i="2"/>
  <c r="M20" i="7"/>
  <c r="M13" i="7"/>
  <c r="G37" i="4"/>
  <c r="G19" i="4"/>
  <c r="G29" i="4" s="1"/>
  <c r="M20" i="8"/>
  <c r="M23" i="8" s="1"/>
  <c r="M25" i="8" s="1"/>
  <c r="M27" i="8" s="1"/>
  <c r="M41" i="8"/>
  <c r="M43" i="8" s="1"/>
  <c r="R71" i="4"/>
  <c r="K51" i="8"/>
  <c r="K8" i="5"/>
  <c r="K9" i="5"/>
  <c r="T16" i="4"/>
  <c r="T21" i="4" s="1"/>
  <c r="T45" i="4" s="1"/>
  <c r="Q86" i="4"/>
  <c r="P55" i="4"/>
  <c r="O28" i="16" s="1"/>
  <c r="H38" i="7"/>
  <c r="H41" i="7" s="1"/>
  <c r="H42" i="7" s="1"/>
  <c r="I40" i="7" s="1"/>
  <c r="P89" i="4"/>
  <c r="P52" i="4"/>
  <c r="D50" i="10"/>
  <c r="E58" i="4"/>
  <c r="E62" i="4" s="1"/>
  <c r="Z37" i="7"/>
  <c r="Z44" i="7" s="1"/>
  <c r="Z38" i="7"/>
  <c r="Z41" i="7" s="1"/>
  <c r="AB102" i="4"/>
  <c r="AB104" i="4" s="1"/>
  <c r="AB105" i="4"/>
  <c r="AC101" i="4" s="1"/>
  <c r="H35" i="4"/>
  <c r="H38" i="4"/>
  <c r="I34" i="4" s="1"/>
  <c r="K16" i="5"/>
  <c r="K17" i="5"/>
  <c r="V24" i="2"/>
  <c r="W12" i="6" s="1"/>
  <c r="V34" i="3"/>
  <c r="V36" i="3" s="1"/>
  <c r="W23" i="6" s="1"/>
  <c r="W29" i="6" s="1"/>
  <c r="W58" i="6" s="1"/>
  <c r="W9" i="15" s="1"/>
  <c r="B9" i="15" s="1"/>
  <c r="C19" i="15" s="1"/>
  <c r="V27" i="3"/>
  <c r="V32" i="3" s="1"/>
  <c r="I35" i="4" l="1"/>
  <c r="I36" i="4" s="1"/>
  <c r="I38" i="4"/>
  <c r="J34" i="4" s="1"/>
  <c r="T67" i="6"/>
  <c r="U6" i="4"/>
  <c r="S41" i="5"/>
  <c r="S37" i="17"/>
  <c r="S38" i="17" s="1"/>
  <c r="S42" i="17" s="1"/>
  <c r="T64" i="6"/>
  <c r="V16" i="4"/>
  <c r="V21" i="4" s="1"/>
  <c r="V45" i="4" s="1"/>
  <c r="H37" i="4"/>
  <c r="H19" i="4"/>
  <c r="H29" i="4" s="1"/>
  <c r="Q87" i="4"/>
  <c r="Q90" i="4"/>
  <c r="Q51" i="4"/>
  <c r="G58" i="4"/>
  <c r="G62" i="4" s="1"/>
  <c r="B29" i="2"/>
  <c r="V57" i="2"/>
  <c r="V42" i="2"/>
  <c r="O30" i="5"/>
  <c r="O31" i="5" s="1"/>
  <c r="K52" i="8"/>
  <c r="K54" i="8" s="1"/>
  <c r="K21" i="7" s="1"/>
  <c r="C19" i="4"/>
  <c r="B19" i="4" s="1"/>
  <c r="V23" i="2"/>
  <c r="N35" i="5"/>
  <c r="N36" i="5" s="1"/>
  <c r="P54" i="4"/>
  <c r="N23" i="5" s="1"/>
  <c r="L15" i="5"/>
  <c r="L7" i="5"/>
  <c r="I44" i="7"/>
  <c r="I34" i="16"/>
  <c r="I35" i="16" s="1"/>
  <c r="N18" i="8"/>
  <c r="N6" i="7"/>
  <c r="N71" i="6"/>
  <c r="N60" i="8" s="1"/>
  <c r="N72" i="6"/>
  <c r="V67" i="6"/>
  <c r="W6" i="4"/>
  <c r="U37" i="17"/>
  <c r="U38" i="17" s="1"/>
  <c r="U42" i="17" s="1"/>
  <c r="U41" i="5"/>
  <c r="V64" i="6"/>
  <c r="AC105" i="4"/>
  <c r="AC102" i="4"/>
  <c r="AC104" i="4" s="1"/>
  <c r="D51" i="10"/>
  <c r="F50" i="10"/>
  <c r="A51" i="10"/>
  <c r="E50" i="10"/>
  <c r="I42" i="7"/>
  <c r="J40" i="7" s="1"/>
  <c r="R72" i="4"/>
  <c r="R75" i="4"/>
  <c r="J36" i="7"/>
  <c r="I11" i="5"/>
  <c r="J11" i="15"/>
  <c r="S58" i="4"/>
  <c r="S62" i="4" s="1"/>
  <c r="AA27" i="7"/>
  <c r="AA31" i="7" s="1"/>
  <c r="AA36" i="7" s="1"/>
  <c r="X61" i="6"/>
  <c r="X8" i="15"/>
  <c r="X13" i="8"/>
  <c r="W21" i="2"/>
  <c r="L45" i="8"/>
  <c r="L46" i="8" s="1"/>
  <c r="L49" i="8" s="1"/>
  <c r="O11" i="7"/>
  <c r="O66" i="6"/>
  <c r="T58" i="4"/>
  <c r="T62" i="4" s="1"/>
  <c r="T60" i="4"/>
  <c r="M32" i="8"/>
  <c r="M30" i="8"/>
  <c r="K59" i="8" l="1"/>
  <c r="K61" i="8" s="1"/>
  <c r="K63" i="8" s="1"/>
  <c r="K26" i="16" s="1"/>
  <c r="K30" i="16" s="1"/>
  <c r="K22" i="7"/>
  <c r="L8" i="5"/>
  <c r="G62" i="1" s="1"/>
  <c r="L9" i="5"/>
  <c r="G68" i="1" s="1"/>
  <c r="N10" i="15"/>
  <c r="L17" i="5"/>
  <c r="L16" i="5"/>
  <c r="R86" i="4"/>
  <c r="Q55" i="4"/>
  <c r="P28" i="16" s="1"/>
  <c r="M33" i="8"/>
  <c r="N29" i="8" s="1"/>
  <c r="S71" i="4"/>
  <c r="N34" i="2"/>
  <c r="N35" i="2" s="1"/>
  <c r="N24" i="5"/>
  <c r="N50" i="2"/>
  <c r="N51" i="2" s="1"/>
  <c r="Q89" i="4"/>
  <c r="Q52" i="4"/>
  <c r="N31" i="8"/>
  <c r="AB30" i="7"/>
  <c r="AB27" i="7" s="1"/>
  <c r="AB31" i="7" s="1"/>
  <c r="AB36" i="7" s="1"/>
  <c r="AB37" i="7" s="1"/>
  <c r="AB44" i="7" s="1"/>
  <c r="R74" i="4"/>
  <c r="N20" i="7"/>
  <c r="N13" i="7"/>
  <c r="V45" i="2"/>
  <c r="B42" i="2"/>
  <c r="Y6" i="4"/>
  <c r="Y60" i="4" s="1"/>
  <c r="X67" i="6"/>
  <c r="W37" i="17"/>
  <c r="W38" i="17" s="1"/>
  <c r="W42" i="17" s="1"/>
  <c r="W41" i="5"/>
  <c r="X64" i="6"/>
  <c r="U60" i="4"/>
  <c r="U16" i="4"/>
  <c r="U21" i="4" s="1"/>
  <c r="U45" i="4" s="1"/>
  <c r="M35" i="8"/>
  <c r="M37" i="8" s="1"/>
  <c r="N20" i="8"/>
  <c r="N23" i="8" s="1"/>
  <c r="N25" i="8" s="1"/>
  <c r="N27" i="8" s="1"/>
  <c r="N41" i="8"/>
  <c r="N43" i="8" s="1"/>
  <c r="V76" i="2"/>
  <c r="V12" i="2"/>
  <c r="W10" i="6" s="1"/>
  <c r="W17" i="6" s="1"/>
  <c r="V25" i="2"/>
  <c r="B57" i="2"/>
  <c r="V59" i="2"/>
  <c r="B59" i="2" s="1"/>
  <c r="H58" i="4"/>
  <c r="H62" i="4" s="1"/>
  <c r="J37" i="7"/>
  <c r="J38" i="7"/>
  <c r="J41" i="7" s="1"/>
  <c r="AA37" i="7"/>
  <c r="AA44" i="7" s="1"/>
  <c r="E26" i="4"/>
  <c r="V58" i="4"/>
  <c r="V62" i="4" s="1"/>
  <c r="J35" i="4"/>
  <c r="J36" i="4" s="1"/>
  <c r="J38" i="4"/>
  <c r="K34" i="4" s="1"/>
  <c r="E51" i="10"/>
  <c r="D52" i="10" s="1"/>
  <c r="F51" i="10"/>
  <c r="A52" i="10"/>
  <c r="W16" i="4"/>
  <c r="W21" i="4" s="1"/>
  <c r="W45" i="4" s="1"/>
  <c r="I12" i="5"/>
  <c r="I13" i="5"/>
  <c r="L51" i="8"/>
  <c r="O68" i="6"/>
  <c r="O69" i="6" s="1"/>
  <c r="O10" i="7"/>
  <c r="J42" i="7"/>
  <c r="K40" i="7" s="1"/>
  <c r="I36" i="16"/>
  <c r="I38" i="16" s="1"/>
  <c r="V60" i="4"/>
  <c r="V47" i="2" l="1"/>
  <c r="B45" i="2"/>
  <c r="W58" i="4"/>
  <c r="W62" i="4" s="1"/>
  <c r="J34" i="16"/>
  <c r="J35" i="16" s="1"/>
  <c r="J44" i="7"/>
  <c r="N32" i="8"/>
  <c r="N30" i="8"/>
  <c r="F52" i="10"/>
  <c r="E52" i="10"/>
  <c r="D53" i="10" s="1"/>
  <c r="A53" i="10"/>
  <c r="M7" i="5"/>
  <c r="M15" i="5"/>
  <c r="N33" i="8"/>
  <c r="O29" i="8" s="1"/>
  <c r="E27" i="4"/>
  <c r="E28" i="4" s="1"/>
  <c r="E30" i="4"/>
  <c r="F26" i="4" s="1"/>
  <c r="P30" i="5"/>
  <c r="P31" i="5" s="1"/>
  <c r="P66" i="6"/>
  <c r="P11" i="7"/>
  <c r="M45" i="8"/>
  <c r="M46" i="8" s="1"/>
  <c r="M49" i="8" s="1"/>
  <c r="O35" i="5"/>
  <c r="O36" i="5" s="1"/>
  <c r="Q54" i="4"/>
  <c r="O23" i="5" s="1"/>
  <c r="K35" i="4"/>
  <c r="K36" i="4" s="1"/>
  <c r="W61" i="6"/>
  <c r="W13" i="8"/>
  <c r="W8" i="15"/>
  <c r="B8" i="15" s="1"/>
  <c r="C18" i="15" s="1"/>
  <c r="V21" i="2"/>
  <c r="U58" i="4"/>
  <c r="U62" i="4" s="1"/>
  <c r="R90" i="4"/>
  <c r="R87" i="4"/>
  <c r="R51" i="4"/>
  <c r="K36" i="7"/>
  <c r="K11" i="15"/>
  <c r="J11" i="5"/>
  <c r="O18" i="8"/>
  <c r="O6" i="7"/>
  <c r="O71" i="6"/>
  <c r="O60" i="8" s="1"/>
  <c r="O72" i="6"/>
  <c r="W60" i="4"/>
  <c r="S72" i="4"/>
  <c r="S75" i="4"/>
  <c r="L52" i="8"/>
  <c r="L54" i="8" s="1"/>
  <c r="L21" i="7" s="1"/>
  <c r="AA38" i="7"/>
  <c r="AA41" i="7" s="1"/>
  <c r="F27" i="4" l="1"/>
  <c r="F28" i="4" s="1"/>
  <c r="F30" i="4"/>
  <c r="G26" i="4" s="1"/>
  <c r="J12" i="5"/>
  <c r="J13" i="5"/>
  <c r="S74" i="4"/>
  <c r="K37" i="7"/>
  <c r="K38" i="7"/>
  <c r="K41" i="7" s="1"/>
  <c r="K42" i="7" s="1"/>
  <c r="L40" i="7" s="1"/>
  <c r="M17" i="5"/>
  <c r="M16" i="5"/>
  <c r="O31" i="8"/>
  <c r="M52" i="8"/>
  <c r="M54" i="8" s="1"/>
  <c r="M21" i="7" s="1"/>
  <c r="W67" i="6"/>
  <c r="X6" i="4"/>
  <c r="V37" i="17"/>
  <c r="V38" i="17" s="1"/>
  <c r="V42" i="17" s="1"/>
  <c r="V41" i="5"/>
  <c r="W64" i="6"/>
  <c r="P68" i="6"/>
  <c r="P69" i="6" s="1"/>
  <c r="P10" i="7"/>
  <c r="M8" i="5"/>
  <c r="M9" i="5"/>
  <c r="N35" i="8"/>
  <c r="N37" i="8" s="1"/>
  <c r="B47" i="2"/>
  <c r="O34" i="2"/>
  <c r="O35" i="2" s="1"/>
  <c r="O24" i="5"/>
  <c r="O50" i="2"/>
  <c r="O51" i="2" s="1"/>
  <c r="O20" i="8"/>
  <c r="O23" i="8" s="1"/>
  <c r="O25" i="8" s="1"/>
  <c r="O27" i="8" s="1"/>
  <c r="O41" i="8"/>
  <c r="O43" i="8" s="1"/>
  <c r="T71" i="4"/>
  <c r="F53" i="10"/>
  <c r="E53" i="10"/>
  <c r="D54" i="10" s="1"/>
  <c r="A54" i="10"/>
  <c r="O20" i="7"/>
  <c r="O13" i="7"/>
  <c r="L59" i="8"/>
  <c r="L61" i="8" s="1"/>
  <c r="L63" i="8" s="1"/>
  <c r="L26" i="16" s="1"/>
  <c r="L30" i="16" s="1"/>
  <c r="L22" i="7"/>
  <c r="M51" i="8"/>
  <c r="O10" i="15"/>
  <c r="R89" i="4"/>
  <c r="R52" i="4"/>
  <c r="S86" i="4"/>
  <c r="R55" i="4"/>
  <c r="Q28" i="16" s="1"/>
  <c r="K38" i="4"/>
  <c r="L34" i="4" s="1"/>
  <c r="J36" i="16"/>
  <c r="J38" i="16" s="1"/>
  <c r="M59" i="8" l="1"/>
  <c r="M61" i="8" s="1"/>
  <c r="M63" i="8" s="1"/>
  <c r="M26" i="16" s="1"/>
  <c r="M30" i="16" s="1"/>
  <c r="M22" i="7"/>
  <c r="S90" i="4"/>
  <c r="S87" i="4"/>
  <c r="S51" i="4"/>
  <c r="G27" i="4"/>
  <c r="G28" i="4" s="1"/>
  <c r="Q30" i="5"/>
  <c r="Q31" i="5" s="1"/>
  <c r="N15" i="5"/>
  <c r="N7" i="5"/>
  <c r="O32" i="8"/>
  <c r="O35" i="8" s="1"/>
  <c r="O37" i="8" s="1"/>
  <c r="O30" i="8"/>
  <c r="X16" i="4"/>
  <c r="X21" i="4" s="1"/>
  <c r="L35" i="4"/>
  <c r="L36" i="4" s="1"/>
  <c r="L38" i="4" s="1"/>
  <c r="M34" i="4" s="1"/>
  <c r="F54" i="10"/>
  <c r="A55" i="10"/>
  <c r="E54" i="10"/>
  <c r="D55" i="10" s="1"/>
  <c r="Q66" i="6"/>
  <c r="Q11" i="7"/>
  <c r="T75" i="4"/>
  <c r="T72" i="4"/>
  <c r="L36" i="7"/>
  <c r="L11" i="15"/>
  <c r="K11" i="5"/>
  <c r="P18" i="8"/>
  <c r="P6" i="7"/>
  <c r="P71" i="6"/>
  <c r="P60" i="8" s="1"/>
  <c r="P72" i="6"/>
  <c r="P35" i="5"/>
  <c r="P36" i="5" s="1"/>
  <c r="R54" i="4"/>
  <c r="P23" i="5" s="1"/>
  <c r="N45" i="8"/>
  <c r="N46" i="8" s="1"/>
  <c r="N49" i="8" s="1"/>
  <c r="K44" i="7"/>
  <c r="K34" i="16"/>
  <c r="K35" i="16" s="1"/>
  <c r="K36" i="16" s="1"/>
  <c r="K38" i="16" s="1"/>
  <c r="O45" i="8" l="1"/>
  <c r="O46" i="8" s="1"/>
  <c r="O49" i="8" s="1"/>
  <c r="M35" i="4"/>
  <c r="M36" i="4" s="1"/>
  <c r="M38" i="4" s="1"/>
  <c r="N34" i="4" s="1"/>
  <c r="N9" i="5"/>
  <c r="N8" i="5"/>
  <c r="K12" i="5"/>
  <c r="K13" i="5"/>
  <c r="N16" i="5"/>
  <c r="N17" i="5"/>
  <c r="T74" i="4"/>
  <c r="U71" i="4"/>
  <c r="S89" i="4"/>
  <c r="S52" i="4"/>
  <c r="X45" i="4"/>
  <c r="N21" i="4"/>
  <c r="B21" i="4" s="1"/>
  <c r="P31" i="8"/>
  <c r="T86" i="4"/>
  <c r="S55" i="4"/>
  <c r="R28" i="16" s="1"/>
  <c r="P34" i="2"/>
  <c r="P35" i="2" s="1"/>
  <c r="P24" i="5"/>
  <c r="P50" i="2"/>
  <c r="P51" i="2" s="1"/>
  <c r="L37" i="7"/>
  <c r="L38" i="7"/>
  <c r="L41" i="7" s="1"/>
  <c r="L42" i="7" s="1"/>
  <c r="M40" i="7" s="1"/>
  <c r="Q68" i="6"/>
  <c r="Q69" i="6" s="1"/>
  <c r="Q10" i="7"/>
  <c r="X60" i="4"/>
  <c r="M36" i="7"/>
  <c r="M11" i="15"/>
  <c r="L11" i="5"/>
  <c r="P10" i="15"/>
  <c r="A56" i="10"/>
  <c r="F55" i="10"/>
  <c r="E55" i="10"/>
  <c r="D56" i="10" s="1"/>
  <c r="P20" i="7"/>
  <c r="P13" i="7"/>
  <c r="P20" i="8"/>
  <c r="P23" i="8" s="1"/>
  <c r="P25" i="8" s="1"/>
  <c r="P27" i="8" s="1"/>
  <c r="P41" i="8"/>
  <c r="P43" i="8" s="1"/>
  <c r="N51" i="8"/>
  <c r="O33" i="8"/>
  <c r="P29" i="8" s="1"/>
  <c r="G30" i="4"/>
  <c r="H26" i="4" s="1"/>
  <c r="N35" i="4" l="1"/>
  <c r="N36" i="4" s="1"/>
  <c r="E39" i="4" s="1"/>
  <c r="N38" i="4"/>
  <c r="O7" i="5"/>
  <c r="O15" i="5"/>
  <c r="R30" i="5"/>
  <c r="R31" i="5" s="1"/>
  <c r="M37" i="7"/>
  <c r="M38" i="7"/>
  <c r="M41" i="7" s="1"/>
  <c r="E42" i="4"/>
  <c r="E46" i="4" s="1"/>
  <c r="F42" i="4" s="1"/>
  <c r="F46" i="4" s="1"/>
  <c r="G42" i="4" s="1"/>
  <c r="G46" i="4" s="1"/>
  <c r="H42" i="4" s="1"/>
  <c r="H46" i="4" s="1"/>
  <c r="I42" i="4" s="1"/>
  <c r="I46" i="4" s="1"/>
  <c r="J42" i="4" s="1"/>
  <c r="J46" i="4" s="1"/>
  <c r="K42" i="4" s="1"/>
  <c r="K46" i="4" s="1"/>
  <c r="L42" i="4" s="1"/>
  <c r="L46" i="4" s="1"/>
  <c r="M42" i="4" s="1"/>
  <c r="M46" i="4" s="1"/>
  <c r="N42" i="4" s="1"/>
  <c r="N46" i="4" s="1"/>
  <c r="O42" i="4" s="1"/>
  <c r="B22" i="4"/>
  <c r="E56" i="4" s="1"/>
  <c r="I45" i="1" s="1"/>
  <c r="N52" i="8"/>
  <c r="N54" i="8" s="1"/>
  <c r="N21" i="7" s="1"/>
  <c r="E56" i="10"/>
  <c r="D57" i="10" s="1"/>
  <c r="A57" i="10"/>
  <c r="F56" i="10"/>
  <c r="X58" i="4"/>
  <c r="X62" i="4" s="1"/>
  <c r="T90" i="4"/>
  <c r="T87" i="4"/>
  <c r="T51" i="4"/>
  <c r="R11" i="7"/>
  <c r="R66" i="6"/>
  <c r="Q18" i="8"/>
  <c r="Q6" i="7"/>
  <c r="Q71" i="6"/>
  <c r="Q60" i="8" s="1"/>
  <c r="Q72" i="6"/>
  <c r="Q35" i="5"/>
  <c r="Q36" i="5" s="1"/>
  <c r="S54" i="4"/>
  <c r="Q23" i="5" s="1"/>
  <c r="P32" i="8"/>
  <c r="P30" i="8"/>
  <c r="M42" i="7"/>
  <c r="N40" i="7" s="1"/>
  <c r="U72" i="4"/>
  <c r="U75" i="4"/>
  <c r="H27" i="4"/>
  <c r="H28" i="4" s="1"/>
  <c r="E31" i="4" s="1"/>
  <c r="L44" i="7"/>
  <c r="L34" i="16"/>
  <c r="L35" i="16" s="1"/>
  <c r="L36" i="16" s="1"/>
  <c r="L38" i="16" s="1"/>
  <c r="L12" i="5"/>
  <c r="I62" i="1" s="1"/>
  <c r="L13" i="5"/>
  <c r="I68" i="1" s="1"/>
  <c r="Q34" i="2" l="1"/>
  <c r="Q35" i="2" s="1"/>
  <c r="Q24" i="5"/>
  <c r="Q50" i="2"/>
  <c r="Q51" i="2" s="1"/>
  <c r="O8" i="5"/>
  <c r="O9" i="5"/>
  <c r="Q31" i="8"/>
  <c r="Q20" i="7"/>
  <c r="Q13" i="7"/>
  <c r="P33" i="8"/>
  <c r="Q29" i="8" s="1"/>
  <c r="O43" i="4"/>
  <c r="O44" i="4" s="1"/>
  <c r="P35" i="8"/>
  <c r="P37" i="8" s="1"/>
  <c r="Q41" i="8"/>
  <c r="Q43" i="8" s="1"/>
  <c r="Q20" i="8"/>
  <c r="Q23" i="8" s="1"/>
  <c r="Q25" i="8" s="1"/>
  <c r="Q27" i="8" s="1"/>
  <c r="M34" i="16"/>
  <c r="M35" i="16" s="1"/>
  <c r="M36" i="16" s="1"/>
  <c r="M38" i="16" s="1"/>
  <c r="M44" i="7"/>
  <c r="U74" i="4"/>
  <c r="N59" i="8"/>
  <c r="N61" i="8" s="1"/>
  <c r="N63" i="8" s="1"/>
  <c r="N26" i="16" s="1"/>
  <c r="N30" i="16" s="1"/>
  <c r="N22" i="7"/>
  <c r="Q10" i="15"/>
  <c r="O51" i="8"/>
  <c r="T89" i="4"/>
  <c r="T52" i="4"/>
  <c r="O17" i="5"/>
  <c r="O16" i="5"/>
  <c r="U86" i="4"/>
  <c r="T55" i="4"/>
  <c r="S28" i="16" s="1"/>
  <c r="H30" i="4"/>
  <c r="V71" i="4"/>
  <c r="R68" i="6"/>
  <c r="R69" i="6" s="1"/>
  <c r="R10" i="7"/>
  <c r="E57" i="10"/>
  <c r="A58" i="10"/>
  <c r="F57" i="10"/>
  <c r="E58" i="10" l="1"/>
  <c r="F58" i="10"/>
  <c r="U87" i="4"/>
  <c r="U90" i="4"/>
  <c r="U51" i="4"/>
  <c r="O52" i="8"/>
  <c r="O54" i="8" s="1"/>
  <c r="O21" i="7" s="1"/>
  <c r="P45" i="8"/>
  <c r="P46" i="8" s="1"/>
  <c r="P49" i="8" s="1"/>
  <c r="R35" i="5"/>
  <c r="R36" i="5" s="1"/>
  <c r="T54" i="4"/>
  <c r="R23" i="5" s="1"/>
  <c r="S30" i="5"/>
  <c r="S31" i="5" s="1"/>
  <c r="O46" i="4"/>
  <c r="P42" i="4" s="1"/>
  <c r="Q33" i="8"/>
  <c r="R29" i="8" s="1"/>
  <c r="P7" i="5"/>
  <c r="P15" i="5"/>
  <c r="R18" i="8"/>
  <c r="R6" i="7"/>
  <c r="R71" i="6"/>
  <c r="R60" i="8" s="1"/>
  <c r="R72" i="6"/>
  <c r="V75" i="4"/>
  <c r="V72" i="4"/>
  <c r="N36" i="7"/>
  <c r="N11" i="15"/>
  <c r="M11" i="5"/>
  <c r="S66" i="6"/>
  <c r="S11" i="7"/>
  <c r="Q30" i="8"/>
  <c r="Q32" i="8"/>
  <c r="R10" i="15" l="1"/>
  <c r="P43" i="4"/>
  <c r="P44" i="4" s="1"/>
  <c r="O59" i="8"/>
  <c r="O61" i="8" s="1"/>
  <c r="O63" i="8" s="1"/>
  <c r="O26" i="16" s="1"/>
  <c r="O30" i="16" s="1"/>
  <c r="O22" i="7"/>
  <c r="S68" i="6"/>
  <c r="S69" i="6" s="1"/>
  <c r="S10" i="7"/>
  <c r="P51" i="8"/>
  <c r="M12" i="5"/>
  <c r="M13" i="5"/>
  <c r="R13" i="7"/>
  <c r="R20" i="7"/>
  <c r="R20" i="8"/>
  <c r="R23" i="8" s="1"/>
  <c r="R25" i="8" s="1"/>
  <c r="R27" i="8" s="1"/>
  <c r="R41" i="8"/>
  <c r="R43" i="8" s="1"/>
  <c r="R34" i="2"/>
  <c r="R35" i="2" s="1"/>
  <c r="R24" i="5"/>
  <c r="R50" i="2"/>
  <c r="R51" i="2" s="1"/>
  <c r="V86" i="4"/>
  <c r="U55" i="4"/>
  <c r="T28" i="16" s="1"/>
  <c r="W71" i="4"/>
  <c r="R31" i="8"/>
  <c r="N37" i="7"/>
  <c r="N38" i="7" s="1"/>
  <c r="N41" i="7" s="1"/>
  <c r="N42" i="7" s="1"/>
  <c r="O40" i="7" s="1"/>
  <c r="U89" i="4"/>
  <c r="U52" i="4"/>
  <c r="P16" i="5"/>
  <c r="P17" i="5"/>
  <c r="Q35" i="8"/>
  <c r="Q37" i="8" s="1"/>
  <c r="V74" i="4"/>
  <c r="P9" i="5"/>
  <c r="P8" i="5"/>
  <c r="P52" i="8"/>
  <c r="P54" i="8" s="1"/>
  <c r="P21" i="7" s="1"/>
  <c r="P59" i="8" l="1"/>
  <c r="P61" i="8" s="1"/>
  <c r="P63" i="8" s="1"/>
  <c r="P26" i="16" s="1"/>
  <c r="P30" i="16" s="1"/>
  <c r="P22" i="7"/>
  <c r="Q7" i="5"/>
  <c r="Q15" i="5"/>
  <c r="Q45" i="8"/>
  <c r="Q46" i="8" s="1"/>
  <c r="Q49" i="8" s="1"/>
  <c r="V87" i="4"/>
  <c r="V90" i="4"/>
  <c r="V51" i="4"/>
  <c r="Q51" i="8"/>
  <c r="T66" i="6"/>
  <c r="T11" i="7"/>
  <c r="T30" i="5"/>
  <c r="T31" i="5" s="1"/>
  <c r="N34" i="16"/>
  <c r="N35" i="16" s="1"/>
  <c r="N36" i="16" s="1"/>
  <c r="N38" i="16" s="1"/>
  <c r="N44" i="7"/>
  <c r="O36" i="7"/>
  <c r="N11" i="5"/>
  <c r="O11" i="15"/>
  <c r="P46" i="4"/>
  <c r="Q42" i="4" s="1"/>
  <c r="S35" i="5"/>
  <c r="S36" i="5" s="1"/>
  <c r="U54" i="4"/>
  <c r="S23" i="5" s="1"/>
  <c r="W75" i="4"/>
  <c r="W72" i="4"/>
  <c r="R35" i="8"/>
  <c r="R37" i="8" s="1"/>
  <c r="R30" i="8"/>
  <c r="R32" i="8"/>
  <c r="S18" i="8"/>
  <c r="S6" i="7"/>
  <c r="S71" i="6"/>
  <c r="S60" i="8" s="1"/>
  <c r="S72" i="6"/>
  <c r="N13" i="5" l="1"/>
  <c r="N12" i="5"/>
  <c r="O38" i="7"/>
  <c r="O41" i="7" s="1"/>
  <c r="O42" i="7" s="1"/>
  <c r="P40" i="7" s="1"/>
  <c r="O37" i="7"/>
  <c r="W74" i="4"/>
  <c r="Q16" i="5"/>
  <c r="Q17" i="5"/>
  <c r="X71" i="4"/>
  <c r="Q9" i="5"/>
  <c r="G69" i="1" s="1"/>
  <c r="Q8" i="5"/>
  <c r="G63" i="1" s="1"/>
  <c r="R33" i="8"/>
  <c r="S29" i="8" s="1"/>
  <c r="W86" i="4"/>
  <c r="V55" i="4"/>
  <c r="U28" i="16" s="1"/>
  <c r="S20" i="8"/>
  <c r="S23" i="8" s="1"/>
  <c r="S25" i="8" s="1"/>
  <c r="S27" i="8" s="1"/>
  <c r="S41" i="8"/>
  <c r="S43" i="8" s="1"/>
  <c r="V89" i="4"/>
  <c r="V52" i="4"/>
  <c r="P36" i="7"/>
  <c r="O11" i="5"/>
  <c r="P11" i="15"/>
  <c r="R45" i="8"/>
  <c r="R46" i="8" s="1"/>
  <c r="R49" i="8" s="1"/>
  <c r="T68" i="6"/>
  <c r="T69" i="6" s="1"/>
  <c r="T10" i="7"/>
  <c r="S10" i="15"/>
  <c r="S13" i="7"/>
  <c r="S20" i="7"/>
  <c r="S34" i="2"/>
  <c r="S35" i="2" s="1"/>
  <c r="S24" i="5"/>
  <c r="S50" i="2"/>
  <c r="S51" i="2" s="1"/>
  <c r="S31" i="8"/>
  <c r="U31" i="8" s="1"/>
  <c r="T31" i="8"/>
  <c r="Q46" i="4"/>
  <c r="R42" i="4" s="1"/>
  <c r="Q43" i="4"/>
  <c r="Q44" i="4" s="1"/>
  <c r="Q52" i="8"/>
  <c r="R51" i="8" s="1"/>
  <c r="T35" i="5" l="1"/>
  <c r="T36" i="5" s="1"/>
  <c r="V54" i="4"/>
  <c r="T23" i="5" s="1"/>
  <c r="O34" i="16"/>
  <c r="O35" i="16" s="1"/>
  <c r="O36" i="16" s="1"/>
  <c r="O38" i="16" s="1"/>
  <c r="O44" i="7"/>
  <c r="W90" i="4"/>
  <c r="W87" i="4"/>
  <c r="W51" i="4"/>
  <c r="O12" i="5"/>
  <c r="O13" i="5"/>
  <c r="P37" i="7"/>
  <c r="U30" i="5"/>
  <c r="U31" i="5" s="1"/>
  <c r="Q54" i="8"/>
  <c r="Q21" i="7" s="1"/>
  <c r="U66" i="6"/>
  <c r="U11" i="7"/>
  <c r="R43" i="4"/>
  <c r="R44" i="4" s="1"/>
  <c r="R46" i="4" s="1"/>
  <c r="S42" i="4" s="1"/>
  <c r="T18" i="8"/>
  <c r="T6" i="7"/>
  <c r="T71" i="6"/>
  <c r="T60" i="8" s="1"/>
  <c r="T72" i="6"/>
  <c r="V31" i="8"/>
  <c r="W31" i="8" s="1"/>
  <c r="X31" i="8" s="1"/>
  <c r="R15" i="5"/>
  <c r="R7" i="5"/>
  <c r="R52" i="8"/>
  <c r="R54" i="8" s="1"/>
  <c r="R21" i="7" s="1"/>
  <c r="S35" i="8"/>
  <c r="S37" i="8" s="1"/>
  <c r="S30" i="8"/>
  <c r="X72" i="4"/>
  <c r="X75" i="4"/>
  <c r="R59" i="8" l="1"/>
  <c r="R61" i="8" s="1"/>
  <c r="R22" i="7"/>
  <c r="S43" i="4"/>
  <c r="S44" i="4" s="1"/>
  <c r="S46" i="4" s="1"/>
  <c r="T42" i="4" s="1"/>
  <c r="T20" i="8"/>
  <c r="T23" i="8" s="1"/>
  <c r="T25" i="8" s="1"/>
  <c r="T27" i="8" s="1"/>
  <c r="T41" i="8"/>
  <c r="T43" i="8" s="1"/>
  <c r="X86" i="4"/>
  <c r="W55" i="4"/>
  <c r="V28" i="16" s="1"/>
  <c r="S45" i="8"/>
  <c r="S46" i="8" s="1"/>
  <c r="S49" i="8" s="1"/>
  <c r="S54" i="8" s="1"/>
  <c r="S21" i="7" s="1"/>
  <c r="U68" i="6"/>
  <c r="U69" i="6" s="1"/>
  <c r="U10" i="7"/>
  <c r="T20" i="7"/>
  <c r="T13" i="7"/>
  <c r="W89" i="4"/>
  <c r="W52" i="4"/>
  <c r="Y71" i="4"/>
  <c r="R9" i="5"/>
  <c r="R8" i="5"/>
  <c r="R16" i="5"/>
  <c r="R17" i="5"/>
  <c r="P34" i="16"/>
  <c r="P35" i="16" s="1"/>
  <c r="P36" i="16" s="1"/>
  <c r="P38" i="16" s="1"/>
  <c r="P44" i="7"/>
  <c r="X74" i="4"/>
  <c r="P38" i="7"/>
  <c r="P41" i="7" s="1"/>
  <c r="P42" i="7" s="1"/>
  <c r="Q40" i="7" s="1"/>
  <c r="Y31" i="8"/>
  <c r="S33" i="8"/>
  <c r="T29" i="8" s="1"/>
  <c r="T34" i="2"/>
  <c r="T35" i="2" s="1"/>
  <c r="T24" i="5"/>
  <c r="T50" i="2"/>
  <c r="T51" i="2" s="1"/>
  <c r="S51" i="8"/>
  <c r="T10" i="15"/>
  <c r="Q59" i="8"/>
  <c r="Q61" i="8" s="1"/>
  <c r="Q63" i="8" s="1"/>
  <c r="Q26" i="16" s="1"/>
  <c r="Q30" i="16" s="1"/>
  <c r="Q22" i="7"/>
  <c r="T43" i="4" l="1"/>
  <c r="T44" i="4" s="1"/>
  <c r="T46" i="4" s="1"/>
  <c r="U42" i="4" s="1"/>
  <c r="S59" i="8"/>
  <c r="S61" i="8" s="1"/>
  <c r="S22" i="7"/>
  <c r="U18" i="8"/>
  <c r="U6" i="7"/>
  <c r="U71" i="6"/>
  <c r="U60" i="8" s="1"/>
  <c r="U72" i="6"/>
  <c r="V66" i="6"/>
  <c r="V11" i="7"/>
  <c r="T35" i="8"/>
  <c r="T37" i="8" s="1"/>
  <c r="T30" i="8"/>
  <c r="Z31" i="8" s="1"/>
  <c r="V30" i="5"/>
  <c r="V31" i="5" s="1"/>
  <c r="Y72" i="4"/>
  <c r="Y75" i="4"/>
  <c r="R36" i="7"/>
  <c r="Q11" i="5"/>
  <c r="R11" i="15"/>
  <c r="U35" i="5"/>
  <c r="U36" i="5" s="1"/>
  <c r="W54" i="4"/>
  <c r="U23" i="5" s="1"/>
  <c r="X87" i="4"/>
  <c r="X90" i="4"/>
  <c r="X51" i="4"/>
  <c r="Q36" i="7"/>
  <c r="P11" i="5"/>
  <c r="Q11" i="15"/>
  <c r="T33" i="8"/>
  <c r="U29" i="8" s="1"/>
  <c r="S15" i="5"/>
  <c r="S7" i="5"/>
  <c r="R63" i="8"/>
  <c r="R26" i="16" s="1"/>
  <c r="R30" i="16" s="1"/>
  <c r="U43" i="4" l="1"/>
  <c r="U44" i="4" s="1"/>
  <c r="U46" i="4" s="1"/>
  <c r="V42" i="4" s="1"/>
  <c r="U10" i="15"/>
  <c r="T45" i="8"/>
  <c r="T46" i="8" s="1"/>
  <c r="T49" i="8" s="1"/>
  <c r="S36" i="7"/>
  <c r="S11" i="15"/>
  <c r="R11" i="5"/>
  <c r="X89" i="4"/>
  <c r="X52" i="4"/>
  <c r="U20" i="7"/>
  <c r="U13" i="7"/>
  <c r="Q37" i="7"/>
  <c r="Q38" i="7"/>
  <c r="Q41" i="7" s="1"/>
  <c r="Q42" i="7" s="1"/>
  <c r="R40" i="7" s="1"/>
  <c r="R37" i="7"/>
  <c r="S63" i="8"/>
  <c r="S26" i="16" s="1"/>
  <c r="S30" i="16" s="1"/>
  <c r="S16" i="5"/>
  <c r="S17" i="5"/>
  <c r="U34" i="2"/>
  <c r="U35" i="2" s="1"/>
  <c r="U24" i="5"/>
  <c r="U50" i="2"/>
  <c r="U51" i="2" s="1"/>
  <c r="P13" i="5"/>
  <c r="P12" i="5"/>
  <c r="Z71" i="4"/>
  <c r="U20" i="8"/>
  <c r="U23" i="8" s="1"/>
  <c r="U25" i="8" s="1"/>
  <c r="U27" i="8" s="1"/>
  <c r="U41" i="8"/>
  <c r="U43" i="8" s="1"/>
  <c r="Q12" i="5"/>
  <c r="I63" i="1" s="1"/>
  <c r="Q13" i="5"/>
  <c r="I69" i="1" s="1"/>
  <c r="S9" i="5"/>
  <c r="S8" i="5"/>
  <c r="Y86" i="4"/>
  <c r="X55" i="4"/>
  <c r="W28" i="16" s="1"/>
  <c r="Y74" i="4"/>
  <c r="V68" i="6"/>
  <c r="V69" i="6" s="1"/>
  <c r="V10" i="7"/>
  <c r="V43" i="4" l="1"/>
  <c r="V44" i="4" s="1"/>
  <c r="V46" i="4" s="1"/>
  <c r="W42" i="4" s="1"/>
  <c r="W66" i="6"/>
  <c r="W11" i="7"/>
  <c r="U35" i="8"/>
  <c r="U37" i="8" s="1"/>
  <c r="U30" i="8"/>
  <c r="R42" i="7"/>
  <c r="S40" i="7" s="1"/>
  <c r="S37" i="7"/>
  <c r="Q34" i="16"/>
  <c r="Q35" i="16" s="1"/>
  <c r="Q36" i="16" s="1"/>
  <c r="Q38" i="16" s="1"/>
  <c r="Q44" i="7"/>
  <c r="T54" i="8"/>
  <c r="T21" i="7" s="1"/>
  <c r="T51" i="8"/>
  <c r="Y87" i="4"/>
  <c r="Y90" i="4"/>
  <c r="Y51" i="4"/>
  <c r="V35" i="5"/>
  <c r="V36" i="5" s="1"/>
  <c r="X54" i="4"/>
  <c r="V23" i="5" s="1"/>
  <c r="T15" i="5"/>
  <c r="T7" i="5"/>
  <c r="Z72" i="4"/>
  <c r="Z74" i="4" s="1"/>
  <c r="X30" i="5" s="1"/>
  <c r="X31" i="5" s="1"/>
  <c r="Z75" i="4"/>
  <c r="AA71" i="4" s="1"/>
  <c r="V18" i="8"/>
  <c r="V6" i="7"/>
  <c r="V71" i="6"/>
  <c r="V60" i="8" s="1"/>
  <c r="V72" i="6"/>
  <c r="R44" i="7"/>
  <c r="R34" i="16"/>
  <c r="R35" i="16" s="1"/>
  <c r="R36" i="16" s="1"/>
  <c r="R38" i="16" s="1"/>
  <c r="R13" i="5"/>
  <c r="R12" i="5"/>
  <c r="W30" i="5"/>
  <c r="W31" i="5" s="1"/>
  <c r="R38" i="7"/>
  <c r="R41" i="7" s="1"/>
  <c r="W43" i="4" l="1"/>
  <c r="W44" i="4" s="1"/>
  <c r="W46" i="4" s="1"/>
  <c r="X42" i="4" s="1"/>
  <c r="Y89" i="4"/>
  <c r="Y52" i="4"/>
  <c r="T8" i="5"/>
  <c r="T9" i="5"/>
  <c r="V10" i="15"/>
  <c r="T59" i="8"/>
  <c r="T61" i="8" s="1"/>
  <c r="T63" i="8" s="1"/>
  <c r="T26" i="16" s="1"/>
  <c r="T30" i="16" s="1"/>
  <c r="T22" i="7"/>
  <c r="U45" i="8"/>
  <c r="U46" i="8" s="1"/>
  <c r="U49" i="8" s="1"/>
  <c r="U54" i="8" s="1"/>
  <c r="U21" i="7" s="1"/>
  <c r="V34" i="2"/>
  <c r="V24" i="5"/>
  <c r="V50" i="2"/>
  <c r="W68" i="6"/>
  <c r="W69" i="6" s="1"/>
  <c r="W10" i="7"/>
  <c r="AA72" i="4"/>
  <c r="AA74" i="4" s="1"/>
  <c r="Y30" i="5" s="1"/>
  <c r="Y31" i="5" s="1"/>
  <c r="AA75" i="4"/>
  <c r="AB71" i="4" s="1"/>
  <c r="S44" i="7"/>
  <c r="S34" i="16"/>
  <c r="S35" i="16" s="1"/>
  <c r="S36" i="16" s="1"/>
  <c r="S38" i="16" s="1"/>
  <c r="S42" i="7"/>
  <c r="T40" i="7" s="1"/>
  <c r="V20" i="7"/>
  <c r="V13" i="7"/>
  <c r="Z86" i="4"/>
  <c r="Y55" i="4"/>
  <c r="X28" i="16" s="1"/>
  <c r="AA31" i="8"/>
  <c r="U33" i="8"/>
  <c r="V29" i="8" s="1"/>
  <c r="T16" i="5"/>
  <c r="T17" i="5"/>
  <c r="V41" i="8"/>
  <c r="V43" i="8" s="1"/>
  <c r="V20" i="8"/>
  <c r="V23" i="8" s="1"/>
  <c r="V25" i="8" s="1"/>
  <c r="V27" i="8" s="1"/>
  <c r="S38" i="7"/>
  <c r="S41" i="7" s="1"/>
  <c r="U59" i="8" l="1"/>
  <c r="U61" i="8" s="1"/>
  <c r="U63" i="8" s="1"/>
  <c r="U26" i="16" s="1"/>
  <c r="U30" i="16" s="1"/>
  <c r="U22" i="7"/>
  <c r="X43" i="4"/>
  <c r="X44" i="4" s="1"/>
  <c r="E47" i="4" s="1"/>
  <c r="C48" i="16"/>
  <c r="AB72" i="4"/>
  <c r="AB74" i="4" s="1"/>
  <c r="Z30" i="5" s="1"/>
  <c r="Z31" i="5" s="1"/>
  <c r="AB75" i="4"/>
  <c r="AC71" i="4" s="1"/>
  <c r="X11" i="7"/>
  <c r="C11" i="7" s="1"/>
  <c r="X66" i="6"/>
  <c r="Z90" i="4"/>
  <c r="AA86" i="4" s="1"/>
  <c r="Z87" i="4"/>
  <c r="Z89" i="4" s="1"/>
  <c r="X35" i="5" s="1"/>
  <c r="X36" i="5" s="1"/>
  <c r="V35" i="8"/>
  <c r="V37" i="8" s="1"/>
  <c r="V30" i="8"/>
  <c r="AB31" i="8" s="1"/>
  <c r="T11" i="15"/>
  <c r="T36" i="7"/>
  <c r="S11" i="5"/>
  <c r="W35" i="5"/>
  <c r="W36" i="5" s="1"/>
  <c r="Y54" i="4"/>
  <c r="W23" i="5" s="1"/>
  <c r="U7" i="5"/>
  <c r="U15" i="5"/>
  <c r="W18" i="8"/>
  <c r="W6" i="7"/>
  <c r="W71" i="6"/>
  <c r="W60" i="8" s="1"/>
  <c r="W72" i="6"/>
  <c r="B34" i="2"/>
  <c r="B35" i="2" s="1"/>
  <c r="V35" i="2"/>
  <c r="U51" i="8"/>
  <c r="B50" i="2"/>
  <c r="V51" i="2"/>
  <c r="B51" i="2" s="1"/>
  <c r="AC72" i="4" l="1"/>
  <c r="AC74" i="4" s="1"/>
  <c r="AA30" i="5" s="1"/>
  <c r="AA31" i="5" s="1"/>
  <c r="AC75" i="4"/>
  <c r="V45" i="8"/>
  <c r="V46" i="8" s="1"/>
  <c r="V49" i="8" s="1"/>
  <c r="V54" i="8" s="1"/>
  <c r="V21" i="7" s="1"/>
  <c r="V33" i="8"/>
  <c r="W29" i="8" s="1"/>
  <c r="W34" i="2"/>
  <c r="W35" i="2" s="1"/>
  <c r="W24" i="5"/>
  <c r="W50" i="2"/>
  <c r="W51" i="2" s="1"/>
  <c r="X46" i="4"/>
  <c r="U17" i="5"/>
  <c r="U16" i="5"/>
  <c r="W10" i="15"/>
  <c r="W13" i="7"/>
  <c r="W20" i="7"/>
  <c r="S13" i="5"/>
  <c r="S12" i="5"/>
  <c r="X68" i="6"/>
  <c r="X69" i="6" s="1"/>
  <c r="X10" i="7"/>
  <c r="C10" i="7" s="1"/>
  <c r="U36" i="7"/>
  <c r="U11" i="15"/>
  <c r="T11" i="5"/>
  <c r="U8" i="5"/>
  <c r="U9" i="5"/>
  <c r="AA87" i="4"/>
  <c r="AA89" i="4" s="1"/>
  <c r="Y35" i="5" s="1"/>
  <c r="Y36" i="5" s="1"/>
  <c r="AA90" i="4"/>
  <c r="AB86" i="4" s="1"/>
  <c r="V51" i="8"/>
  <c r="W41" i="8"/>
  <c r="W43" i="8" s="1"/>
  <c r="W20" i="8"/>
  <c r="W23" i="8" s="1"/>
  <c r="W25" i="8" s="1"/>
  <c r="W27" i="8" s="1"/>
  <c r="T37" i="7"/>
  <c r="T38" i="7"/>
  <c r="T41" i="7" s="1"/>
  <c r="T42" i="7" s="1"/>
  <c r="U40" i="7" s="1"/>
  <c r="V59" i="8" l="1"/>
  <c r="V61" i="8" s="1"/>
  <c r="V63" i="8" s="1"/>
  <c r="V26" i="16" s="1"/>
  <c r="V30" i="16" s="1"/>
  <c r="V22" i="7"/>
  <c r="T34" i="16"/>
  <c r="T35" i="16" s="1"/>
  <c r="T44" i="7"/>
  <c r="T13" i="5"/>
  <c r="T12" i="5"/>
  <c r="W35" i="8"/>
  <c r="W37" i="8" s="1"/>
  <c r="W30" i="8"/>
  <c r="U37" i="7"/>
  <c r="U38" i="7"/>
  <c r="U41" i="7" s="1"/>
  <c r="U42" i="7" s="1"/>
  <c r="V40" i="7" s="1"/>
  <c r="W33" i="8"/>
  <c r="X29" i="8" s="1"/>
  <c r="X33" i="8" s="1"/>
  <c r="Y29" i="8" s="1"/>
  <c r="Y33" i="8" s="1"/>
  <c r="Z29" i="8" s="1"/>
  <c r="Z33" i="8" s="1"/>
  <c r="AA29" i="8" s="1"/>
  <c r="AA33" i="8" s="1"/>
  <c r="AB29" i="8" s="1"/>
  <c r="AB33" i="8" s="1"/>
  <c r="AB87" i="4"/>
  <c r="AB89" i="4" s="1"/>
  <c r="Z35" i="5" s="1"/>
  <c r="Z36" i="5" s="1"/>
  <c r="AB90" i="4"/>
  <c r="AC86" i="4" s="1"/>
  <c r="X18" i="8"/>
  <c r="X6" i="7"/>
  <c r="X71" i="6"/>
  <c r="X60" i="8" s="1"/>
  <c r="X72" i="6"/>
  <c r="V7" i="5"/>
  <c r="V15" i="5"/>
  <c r="T36" i="16" l="1"/>
  <c r="T38" i="16" s="1"/>
  <c r="U34" i="16"/>
  <c r="U35" i="16" s="1"/>
  <c r="U36" i="16" s="1"/>
  <c r="U38" i="16" s="1"/>
  <c r="U44" i="7"/>
  <c r="AC87" i="4"/>
  <c r="AC89" i="4" s="1"/>
  <c r="AA35" i="5" s="1"/>
  <c r="AA36" i="5" s="1"/>
  <c r="AC90" i="4"/>
  <c r="V17" i="5"/>
  <c r="V16" i="5"/>
  <c r="X10" i="15"/>
  <c r="B10" i="15" s="1"/>
  <c r="C20" i="15" s="1"/>
  <c r="X13" i="7"/>
  <c r="X20" i="7"/>
  <c r="C6" i="7"/>
  <c r="C20" i="7" s="1"/>
  <c r="C22" i="7" s="1"/>
  <c r="V36" i="7"/>
  <c r="V11" i="15"/>
  <c r="U11" i="5"/>
  <c r="W45" i="8"/>
  <c r="W46" i="8" s="1"/>
  <c r="W49" i="8" s="1"/>
  <c r="V8" i="5"/>
  <c r="V9" i="5"/>
  <c r="X41" i="8"/>
  <c r="X43" i="8" s="1"/>
  <c r="X20" i="8"/>
  <c r="X23" i="8" s="1"/>
  <c r="X25" i="8" s="1"/>
  <c r="X27" i="8" s="1"/>
  <c r="X35" i="8" s="1"/>
  <c r="X37" i="8" s="1"/>
  <c r="W7" i="5" l="1"/>
  <c r="W15" i="5"/>
  <c r="W54" i="8"/>
  <c r="W21" i="7" s="1"/>
  <c r="W51" i="8"/>
  <c r="U13" i="5"/>
  <c r="U12" i="5"/>
  <c r="X45" i="8"/>
  <c r="X46" i="8" s="1"/>
  <c r="X49" i="8" s="1"/>
  <c r="X54" i="8" s="1"/>
  <c r="X21" i="7" s="1"/>
  <c r="V37" i="7"/>
  <c r="V38" i="7" s="1"/>
  <c r="V41" i="7" s="1"/>
  <c r="V42" i="7" s="1"/>
  <c r="W40" i="7" s="1"/>
  <c r="X59" i="8" l="1"/>
  <c r="X61" i="8" s="1"/>
  <c r="X22" i="7"/>
  <c r="W59" i="8"/>
  <c r="W61" i="8" s="1"/>
  <c r="W63" i="8" s="1"/>
  <c r="W26" i="16" s="1"/>
  <c r="W30" i="16" s="1"/>
  <c r="W22" i="7"/>
  <c r="W16" i="5"/>
  <c r="W17" i="5"/>
  <c r="X16" i="5"/>
  <c r="Y16" i="5"/>
  <c r="X17" i="5"/>
  <c r="Z17" i="5"/>
  <c r="Y17" i="5"/>
  <c r="Z16" i="5"/>
  <c r="AA16" i="5"/>
  <c r="AA17" i="5"/>
  <c r="X8" i="5"/>
  <c r="W9" i="5"/>
  <c r="G70" i="1" s="1"/>
  <c r="B6" i="15" s="1"/>
  <c r="Y9" i="5"/>
  <c r="W8" i="5"/>
  <c r="G64" i="1" s="1"/>
  <c r="X9" i="5"/>
  <c r="Z9" i="5"/>
  <c r="Y8" i="5"/>
  <c r="AA8" i="5"/>
  <c r="Z8" i="5"/>
  <c r="AA9" i="5"/>
  <c r="V44" i="7"/>
  <c r="V34" i="16"/>
  <c r="V35" i="16" s="1"/>
  <c r="X36" i="7" l="1"/>
  <c r="W11" i="5"/>
  <c r="X11" i="15"/>
  <c r="W36" i="7"/>
  <c r="V11" i="5"/>
  <c r="W11" i="15"/>
  <c r="V36" i="16"/>
  <c r="V38" i="16" s="1"/>
  <c r="X63" i="8"/>
  <c r="W37" i="7" l="1"/>
  <c r="W38" i="7"/>
  <c r="W41" i="7" s="1"/>
  <c r="W42" i="7" s="1"/>
  <c r="X40" i="7" s="1"/>
  <c r="Y12" i="5"/>
  <c r="W12" i="5"/>
  <c r="I64" i="1" s="1"/>
  <c r="X13" i="5"/>
  <c r="Y13" i="5"/>
  <c r="X12" i="5"/>
  <c r="AA13" i="5"/>
  <c r="AA12" i="5"/>
  <c r="Z12" i="5"/>
  <c r="Z13" i="5"/>
  <c r="W13" i="5"/>
  <c r="I70" i="1" s="1"/>
  <c r="B5" i="15" s="1"/>
  <c r="B11" i="15"/>
  <c r="C21" i="15" s="1"/>
  <c r="X26" i="16"/>
  <c r="X30" i="16" s="1"/>
  <c r="Y63" i="8"/>
  <c r="Z63" i="8" s="1"/>
  <c r="AA63" i="8" s="1"/>
  <c r="AB63" i="8" s="1"/>
  <c r="X38" i="7"/>
  <c r="X41" i="7" s="1"/>
  <c r="X37" i="7"/>
  <c r="V12" i="5"/>
  <c r="B19" i="5"/>
  <c r="V13" i="5"/>
  <c r="X42" i="7" l="1"/>
  <c r="Y40" i="7" s="1"/>
  <c r="Y42" i="7" s="1"/>
  <c r="Z40" i="7" s="1"/>
  <c r="Z42" i="7" s="1"/>
  <c r="AA40" i="7" s="1"/>
  <c r="AA42" i="7" s="1"/>
  <c r="AB40" i="7" s="1"/>
  <c r="AB42" i="7" s="1"/>
  <c r="X44" i="7"/>
  <c r="W44" i="7"/>
  <c r="W34" i="16"/>
  <c r="W35" i="16" s="1"/>
  <c r="W36" i="16" l="1"/>
  <c r="W38" i="16" s="1"/>
  <c r="S25" i="1" s="1"/>
  <c r="X34" i="16"/>
  <c r="X35" i="16" s="1"/>
  <c r="C49" i="16" l="1"/>
  <c r="X36" i="16"/>
  <c r="A44" i="16"/>
  <c r="E1" i="1" s="1"/>
</calcChain>
</file>

<file path=xl/comments1.xml><?xml version="1.0" encoding="utf-8"?>
<comments xmlns="http://schemas.openxmlformats.org/spreadsheetml/2006/main">
  <authors>
    <author>Sheetal J Bajoria x3-5692</author>
    <author>Bryan Garrett</author>
    <author>nsainsb</author>
  </authors>
  <commentList>
    <comment ref="U6" authorId="0" shapeId="0">
      <text>
        <r>
          <rPr>
            <b/>
            <sz val="8"/>
            <color indexed="81"/>
            <rFont val="Tahoma"/>
          </rPr>
          <t>ASSESSED VALUE MULTIPLIER
Sheetal J Bajoria x3-5692:</t>
        </r>
        <r>
          <rPr>
            <sz val="8"/>
            <color indexed="81"/>
            <rFont val="Tahoma"/>
          </rPr>
          <t xml:space="preserve">
2/10/99 This is applicable only on hard Costs, I.e. tubrines etc..  The rate is 15% as per Ben Jacoby's memo to Tom Huntington and Sheetal bajoria dated 2/10/99  
</t>
        </r>
      </text>
    </comment>
    <comment ref="I7" authorId="1" shapeId="0">
      <text>
        <r>
          <rPr>
            <b/>
            <sz val="8"/>
            <color indexed="81"/>
            <rFont val="Tahoma"/>
            <family val="2"/>
          </rPr>
          <t>TURBINE TYPE
Bryan Garrett:</t>
        </r>
        <r>
          <rPr>
            <sz val="8"/>
            <color indexed="81"/>
            <rFont val="Tahoma"/>
            <family val="2"/>
          </rPr>
          <t xml:space="preserve">
These are the machines that were previously slated for installation at the Fulton site.</t>
        </r>
      </text>
    </comment>
    <comment ref="L7" authorId="2"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L8" authorId="0" shapeId="0">
      <text>
        <r>
          <rPr>
            <b/>
            <sz val="8"/>
            <color indexed="81"/>
            <rFont val="Tahoma"/>
          </rPr>
          <t xml:space="preserve">WATER O&amp;M VARIABLE
</t>
        </r>
        <r>
          <rPr>
            <sz val="8"/>
            <color indexed="81"/>
            <rFont val="Tahoma"/>
            <family val="2"/>
          </rPr>
          <t>2/10/99 reformatted water to match Rodney's format requirements</t>
        </r>
        <r>
          <rPr>
            <b/>
            <sz val="8"/>
            <color indexed="81"/>
            <rFont val="Tahoma"/>
          </rPr>
          <t xml:space="preserve">
Sheetal J Bajoria x3-5692, 1/27/99:
</t>
        </r>
        <r>
          <rPr>
            <sz val="8"/>
            <color indexed="81"/>
            <rFont val="Tahoma"/>
            <family val="2"/>
          </rPr>
          <t>SE Peaking power projects, O&amp;M Estimates, D Ehler,  B Scmitt, dated 1/22/99: -was 445. Changed to 445600/1000.</t>
        </r>
        <r>
          <rPr>
            <sz val="8"/>
            <color indexed="81"/>
            <rFont val="Tahoma"/>
          </rPr>
          <t xml:space="preserve">
Was a "fixed" type estimate based on1200 hours that did not change with a change in MW or hours. Rewired to allow that kind of variation.</t>
        </r>
      </text>
    </comment>
    <comment ref="M8" authorId="2" shapeId="0">
      <text>
        <r>
          <rPr>
            <b/>
            <sz val="8"/>
            <color indexed="81"/>
            <rFont val="Tahoma"/>
          </rPr>
          <t>Variable O&amp;M MW's
Neil S-C: 2/16/99</t>
        </r>
        <r>
          <rPr>
            <sz val="8"/>
            <color indexed="81"/>
            <rFont val="Tahoma"/>
            <family val="2"/>
          </rPr>
          <t xml:space="preserve">
OEC cost estimate</t>
        </r>
      </text>
    </comment>
    <comment ref="U8" authorId="0" shapeId="0">
      <text>
        <r>
          <rPr>
            <b/>
            <sz val="8"/>
            <color indexed="81"/>
            <rFont val="Tahoma"/>
          </rPr>
          <t>MILLAGE RATE FOR SCHOOL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
It was 4.19% when model was recd. from Bryan Garret  on 1/25/99. It has been changed to 4.897% </t>
        </r>
      </text>
    </comment>
    <comment ref="N9" authorId="2" shapeId="0">
      <text>
        <r>
          <rPr>
            <b/>
            <sz val="8"/>
            <color indexed="81"/>
            <rFont val="Tahoma"/>
          </rPr>
          <t xml:space="preserve">FERC Fee:
Neil S-C: 2/19/99
</t>
        </r>
        <r>
          <rPr>
            <sz val="8"/>
            <color indexed="81"/>
            <rFont val="Tahoma"/>
            <family val="2"/>
          </rPr>
          <t>Kevin Pesto and Agatha via a email</t>
        </r>
      </text>
    </comment>
    <comment ref="I10" authorId="0" shapeId="0">
      <text>
        <r>
          <rPr>
            <b/>
            <sz val="10"/>
            <color indexed="81"/>
            <rFont val="Tahoma"/>
            <family val="2"/>
          </rPr>
          <t xml:space="preserve">NET MW 
Sheetal J Bajoria x3-5692
</t>
        </r>
        <r>
          <rPr>
            <sz val="10"/>
            <color indexed="81"/>
            <rFont val="Tahoma"/>
            <family val="2"/>
          </rPr>
          <t>2/2/99: Per Azim Javin EE&amp;CC: 
Changed to 443.58</t>
        </r>
        <r>
          <rPr>
            <b/>
            <sz val="10"/>
            <color indexed="81"/>
            <rFont val="Tahoma"/>
            <family val="2"/>
          </rPr>
          <t xml:space="preserve">
</t>
        </r>
        <r>
          <rPr>
            <sz val="10"/>
            <color indexed="81"/>
            <rFont val="Tahoma"/>
            <family val="2"/>
          </rPr>
          <t xml:space="preserve">
jan 27, 99:
Changed Heat rate from 12,110 to 11,834, and   changed MW from 450 (which was calculated as 6*75) to 445.7 by subtracting the balance amt. of MW.
WRT to document from Mike Nanny (EE&amp;CC) dated 12/17/98. 445.7 is the MW number associated with 11,834 heat rate which represents the Net Heat Rate, Btu/Kwh HHV at a 90 degree ambient temperature.</t>
        </r>
        <r>
          <rPr>
            <sz val="12"/>
            <color indexed="81"/>
            <rFont val="Tahoma"/>
            <family val="2"/>
          </rPr>
          <t xml:space="preserve">
</t>
        </r>
      </text>
    </comment>
    <comment ref="L10" authorId="0" shapeId="0">
      <text>
        <r>
          <rPr>
            <b/>
            <sz val="8"/>
            <color indexed="81"/>
            <rFont val="Tahoma"/>
          </rPr>
          <t xml:space="preserve">VARIABLE O&amp;M MAINTENANCE
Sheetal J Bajoria x3-5692, 1/27/99:
</t>
        </r>
        <r>
          <rPr>
            <sz val="8"/>
            <color indexed="81"/>
            <rFont val="Tahoma"/>
            <family val="2"/>
          </rPr>
          <t>SE Peaking power projects, O&amp;M Estimates, D Ehler,  B Scmitt, dated 1/22/99: -was 445. Changed to 445600/1000.</t>
        </r>
        <r>
          <rPr>
            <sz val="8"/>
            <color indexed="81"/>
            <rFont val="Tahoma"/>
          </rPr>
          <t xml:space="preserve">
Was a "fixed" type estimate based on1200 hours that did not change with a change in MW or hours. Rewired to allow that kind of variation.</t>
        </r>
      </text>
    </comment>
    <comment ref="N11" authorId="0" shapeId="0">
      <text>
        <r>
          <rPr>
            <b/>
            <sz val="8"/>
            <color indexed="81"/>
            <rFont val="Tahoma"/>
          </rPr>
          <t>TOTAL VARIABLE O&amp;M $/MWH
Sheetal J Bajoria x3-5692:</t>
        </r>
        <r>
          <rPr>
            <sz val="8"/>
            <color indexed="81"/>
            <rFont val="Tahoma"/>
          </rPr>
          <t xml:space="preserve">
feb 2, corrected calculation of this number. 
Was calculated off of 446.7. However the SE Peaking power projects, O&amp;M Estimates, D Ehler,  B Scmitt, dated 1/22/99 budget was calculated per 450.
</t>
        </r>
      </text>
    </comment>
    <comment ref="U11" authorId="0" shapeId="0">
      <text>
        <r>
          <rPr>
            <b/>
            <sz val="8"/>
            <color indexed="81"/>
            <rFont val="Tahoma"/>
          </rPr>
          <t>MILLAGE RATE FOR COUNTY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
It was 6.732% when the model was recd by Sheetal from Bryan on Jan 25,99. Now 5.016%</t>
        </r>
      </text>
    </comment>
    <comment ref="A12" authorId="2" shapeId="0">
      <text>
        <r>
          <rPr>
            <b/>
            <sz val="8"/>
            <color indexed="81"/>
            <rFont val="Tahoma"/>
          </rPr>
          <t xml:space="preserve">Uses of Funds:
</t>
        </r>
        <r>
          <rPr>
            <sz val="8"/>
            <color indexed="81"/>
            <rFont val="Tahoma"/>
            <family val="2"/>
          </rPr>
          <t xml:space="preserve">
All the costing information comes from the Control Budgets</t>
        </r>
      </text>
    </comment>
    <comment ref="U12" authorId="2" shapeId="0">
      <text>
        <r>
          <rPr>
            <b/>
            <sz val="8"/>
            <color indexed="81"/>
            <rFont val="Tahoma"/>
          </rPr>
          <t xml:space="preserve">ABATEMENT;
Neil S-C, 3/1/99
</t>
        </r>
        <r>
          <rPr>
            <sz val="8"/>
            <color indexed="81"/>
            <rFont val="Tahoma"/>
            <family val="2"/>
          </rPr>
          <t xml:space="preserve">
Detailed in a Project Agreement from the State of Mississippi Dept. of Economic and Community Develop't</t>
        </r>
      </text>
    </comment>
    <comment ref="I13" authorId="0" shapeId="0">
      <text>
        <r>
          <rPr>
            <b/>
            <sz val="10"/>
            <color indexed="81"/>
            <rFont val="Tahoma"/>
            <family val="2"/>
          </rPr>
          <t xml:space="preserve">HEAT RATE
Sheetal J Bajoria x3-5692 
</t>
        </r>
        <r>
          <rPr>
            <sz val="10"/>
            <color indexed="81"/>
            <rFont val="Tahoma"/>
            <family val="2"/>
          </rPr>
          <t xml:space="preserve">2/2/99: Azim Javin EE&amp;CC dated 2/1/99: changed to 12007
</t>
        </r>
        <r>
          <rPr>
            <b/>
            <sz val="10"/>
            <color indexed="81"/>
            <rFont val="Tahoma"/>
            <family val="2"/>
          </rPr>
          <t xml:space="preserve">
</t>
        </r>
        <r>
          <rPr>
            <sz val="10"/>
            <color indexed="81"/>
            <rFont val="Tahoma"/>
            <family val="2"/>
          </rPr>
          <t>jan 27, 99:
changed from 12,110 to 11,834 wrt to document from Mike Nanny (EE&amp;CC) dated 12/17/98. 11,834 represents the Net Heat Rate, Btu/kWh HHV at a 90 degree ambient temperature.</t>
        </r>
        <r>
          <rPr>
            <sz val="12"/>
            <color indexed="81"/>
            <rFont val="Tahoma"/>
            <family val="2"/>
          </rPr>
          <t xml:space="preserve">
</t>
        </r>
      </text>
    </comment>
    <comment ref="U14" authorId="0" shapeId="0">
      <text>
        <r>
          <rPr>
            <b/>
            <sz val="8"/>
            <color indexed="81"/>
            <rFont val="Tahoma"/>
          </rPr>
          <t>CITY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t>
        </r>
      </text>
    </comment>
    <comment ref="I15" authorId="0" shapeId="0">
      <text>
        <r>
          <rPr>
            <b/>
            <sz val="10"/>
            <color indexed="81"/>
            <rFont val="Tahoma"/>
            <family val="2"/>
          </rPr>
          <t>ANNUAL HOURS
Sheetal J Bajoria x3-5692:</t>
        </r>
        <r>
          <rPr>
            <sz val="10"/>
            <color indexed="81"/>
            <rFont val="Tahoma"/>
            <family val="2"/>
          </rPr>
          <t xml:space="preserve"> 
STILL DOES NOT ACCOUNT FOR START UP EMISSIONS.
28/1/99- wrt Conversation with Kevin Presto and Rodney Malcolm: this will change when start up fuel is accounted for.
We may/not apply for  a repermit as the current permit did not account for start up fuel. - see Rodney for details.
27/1/99: was 1200, changed to 1378 per calculated below: 
Caldedonia is permitted for 248 Tons/ year of Nox emissions.
So: [248 * 2000 Lbs/Ton /6 for six machines /60] - a factor for conversion, lbs/hr,  guaranteed by the OEM.(49 is the number stated in GE Combustion performance datasheet for 7 EA. However, this plant has gas heaters and hence a higher factor of 60 was used)  =1377.7778.
</t>
        </r>
      </text>
    </comment>
    <comment ref="N20" authorId="0" shapeId="0">
      <text>
        <r>
          <rPr>
            <b/>
            <sz val="10"/>
            <color indexed="81"/>
            <rFont val="Tahoma"/>
            <family val="2"/>
          </rPr>
          <t xml:space="preserve">PAYROLL AND BURDEN
Sheetal J Bajoria x3-5692, 1/27/99:
SE Peaking power projects, </t>
        </r>
        <r>
          <rPr>
            <sz val="10"/>
            <color indexed="81"/>
            <rFont val="Tahoma"/>
            <family val="2"/>
          </rPr>
          <t>O&amp;M Estimates, D Ehler,  B Scmitt, dated 1/22/99
was 428</t>
        </r>
      </text>
    </comment>
    <comment ref="B21" authorId="0" shapeId="0">
      <text>
        <r>
          <rPr>
            <b/>
            <sz val="10"/>
            <color indexed="81"/>
            <rFont val="Tahoma"/>
            <family val="2"/>
          </rPr>
          <t xml:space="preserve">SALES AND USE TAX ON EQUIPMENT
Sheetal J Bajoria x3-5692: jan 27,99
</t>
        </r>
        <r>
          <rPr>
            <sz val="10"/>
            <color indexed="81"/>
            <rFont val="Tahoma"/>
            <family val="2"/>
          </rPr>
          <t>Verified $905,000 as per Capital Control Budget from Tammy Sheppard, Revision#11.</t>
        </r>
        <r>
          <rPr>
            <b/>
            <sz val="10"/>
            <color indexed="81"/>
            <rFont val="Tahoma"/>
            <family val="2"/>
          </rPr>
          <t xml:space="preserve">
 However, Need to check Calculation w/ Patrick maloy because </t>
        </r>
        <r>
          <rPr>
            <sz val="10"/>
            <color indexed="81"/>
            <rFont val="Tahoma"/>
            <family val="2"/>
          </rPr>
          <t xml:space="preserve">Per Memo from Patrick Maloy   (ECT multi-tax) to Ryan Tull, dated 5 June 98, re: MISSIPPI taxes:
</t>
        </r>
        <r>
          <rPr>
            <b/>
            <sz val="10"/>
            <color indexed="81"/>
            <rFont val="Tahoma"/>
            <family val="2"/>
          </rPr>
          <t>-Tangible personal propery TPP is taxable at a rate of 7%. Machinery,</t>
        </r>
        <r>
          <rPr>
            <sz val="10"/>
            <color indexed="81"/>
            <rFont val="Tahoma"/>
            <family val="2"/>
          </rPr>
          <t xml:space="preserve">
lease and rentals are subject to this tax.
-Therfore</t>
        </r>
        <r>
          <rPr>
            <b/>
            <sz val="10"/>
            <color indexed="81"/>
            <rFont val="Tahoma"/>
            <family val="2"/>
          </rPr>
          <t xml:space="preserve">  the rate should be 7% and not .75% as it was on Jan 22,99.</t>
        </r>
      </text>
    </comment>
    <comment ref="C21" authorId="0" shapeId="0">
      <text>
        <r>
          <rPr>
            <b/>
            <sz val="10"/>
            <color indexed="81"/>
            <rFont val="Tahoma"/>
            <family val="2"/>
          </rPr>
          <t xml:space="preserve">SALES AND USE TAX ON EQUIPMENT:
Neil S-C: 3/31/99
</t>
        </r>
        <r>
          <rPr>
            <sz val="10"/>
            <color indexed="81"/>
            <rFont val="Tahoma"/>
            <family val="2"/>
          </rPr>
          <t>Verified with Control Budget Version #20
Neil S-C: 3/12/99
Pat Maloy believes this is understated.  There are applications in process to reduce our exposure so he can not give further direction at this time.
Neil S-C, x66527: 3/8/99
Verified with Capital Control Budget Dated March 1 99
Sheetal J Bajoria x3-5692: Jan 27,99
Verified as per Capital Control Budget from Tammy Sheppard, Revision#11.
However, Need to check Calculation w/ Patrick maloy.
Per Memo from Patrick Maloy to Ryan Tull, dated 5 june 98:
A Sales and Use tax of 1.5% is payable  on all raw material  (TPP_ tangible Personal property) that the company consumes to manufacture electricity (for utimate sale).
Tangible personal propery TPP is taxable at a rate of 7%. Machinery,
lease and rentals are subject to this tax.</t>
        </r>
        <r>
          <rPr>
            <b/>
            <sz val="12"/>
            <color indexed="81"/>
            <rFont val="Tahoma"/>
            <family val="2"/>
          </rPr>
          <t xml:space="preserve">
</t>
        </r>
      </text>
    </comment>
    <comment ref="N21" authorId="0" shapeId="0">
      <text>
        <r>
          <rPr>
            <b/>
            <sz val="10"/>
            <color indexed="81"/>
            <rFont val="Tahoma"/>
            <family val="2"/>
          </rPr>
          <t xml:space="preserve">OTHER O&amp;M EXPENSES
Sheetal J Bajoria x3-5692, 1/27/99:
SE Peaking power projects, </t>
        </r>
        <r>
          <rPr>
            <sz val="10"/>
            <color indexed="81"/>
            <rFont val="Tahoma"/>
            <family val="2"/>
          </rPr>
          <t>O&amp;M Estimates, D Ehler,  B Scmitt, dated 1/22/99
was 230.</t>
        </r>
      </text>
    </comment>
    <comment ref="N24" authorId="0" shapeId="0">
      <text>
        <r>
          <rPr>
            <b/>
            <sz val="10"/>
            <color indexed="81"/>
            <rFont val="Tahoma"/>
            <family val="2"/>
          </rPr>
          <t xml:space="preserve">O&amp;M MANAGEMENT FEE
Sheetal J Bajoria x3-5692, 1/27/99:
SE Peaking power projects, </t>
        </r>
        <r>
          <rPr>
            <sz val="10"/>
            <color indexed="81"/>
            <rFont val="Tahoma"/>
            <family val="2"/>
          </rPr>
          <t>O&amp;M Estimates, D Ehler,  B Scmitt, dated 1/22/99
was 84</t>
        </r>
      </text>
    </comment>
    <comment ref="N29" authorId="0" shapeId="0">
      <text>
        <r>
          <rPr>
            <b/>
            <sz val="10"/>
            <color indexed="81"/>
            <rFont val="Tahoma"/>
            <family val="2"/>
          </rPr>
          <t xml:space="preserve">LIABILITY INSURANCE:
</t>
        </r>
        <r>
          <rPr>
            <sz val="10"/>
            <color indexed="81"/>
            <rFont val="Tahoma"/>
            <family val="2"/>
          </rPr>
          <t>Neil S-C x66527: 3/8/99
Updated 3/5/99 with new estimates from Agatha.</t>
        </r>
        <r>
          <rPr>
            <b/>
            <sz val="10"/>
            <color indexed="81"/>
            <rFont val="Tahoma"/>
            <family val="2"/>
          </rPr>
          <t xml:space="preserve">
Sheetal J Bajoria x3-5692:</t>
        </r>
        <r>
          <rPr>
            <sz val="10"/>
            <color indexed="81"/>
            <rFont val="Tahoma"/>
            <family val="2"/>
          </rPr>
          <t xml:space="preserve">
1/27/99:
email from Paul Clayton to Agatha Andraczke on 1/20/99.
</t>
        </r>
      </text>
    </comment>
    <comment ref="N30" authorId="0" shapeId="0">
      <text>
        <r>
          <rPr>
            <b/>
            <sz val="8"/>
            <color indexed="81"/>
            <rFont val="Tahoma"/>
            <family val="2"/>
          </rPr>
          <t xml:space="preserve">BUSINESS INTERUPTION INSURANCE
Neil S-C, 3/29/99
</t>
        </r>
        <r>
          <rPr>
            <sz val="8"/>
            <color indexed="81"/>
            <rFont val="Tahoma"/>
            <family val="2"/>
          </rPr>
          <t>New estimates from David Marshall, ECM</t>
        </r>
        <r>
          <rPr>
            <b/>
            <sz val="8"/>
            <color indexed="81"/>
            <rFont val="Tahoma"/>
            <family val="2"/>
          </rPr>
          <t xml:space="preserve">
Neil S-C x66527, 3/8/99</t>
        </r>
        <r>
          <rPr>
            <sz val="8"/>
            <color indexed="81"/>
            <rFont val="Tahoma"/>
            <family val="2"/>
          </rPr>
          <t xml:space="preserve">
Updated 3/8/99 and increased based on the new estimates from Agatha.
</t>
        </r>
        <r>
          <rPr>
            <b/>
            <sz val="8"/>
            <color indexed="81"/>
            <rFont val="Tahoma"/>
            <family val="2"/>
          </rPr>
          <t xml:space="preserve">
Sheetal J Bajoria x3-5692:</t>
        </r>
        <r>
          <rPr>
            <sz val="8"/>
            <color indexed="81"/>
            <rFont val="Tahoma"/>
            <family val="2"/>
          </rPr>
          <t xml:space="preserve">
1/27/99:
email from Paul Clayton to Agatha Andraczke on 1/20/99.
Based on corporate allocation
</t>
        </r>
      </text>
    </comment>
    <comment ref="I31" authorId="0" shapeId="0">
      <text>
        <r>
          <rPr>
            <b/>
            <sz val="8"/>
            <color indexed="81"/>
            <rFont val="Tahoma"/>
          </rPr>
          <t>CAPACITY RATE ESCALATION
Sheetal J Bajoria x3-5692:</t>
        </r>
        <r>
          <rPr>
            <sz val="8"/>
            <color indexed="81"/>
            <rFont val="Tahoma"/>
          </rPr>
          <t xml:space="preserve">
2/2/99 not wired properly, check before using</t>
        </r>
      </text>
    </comment>
    <comment ref="N31" authorId="0" shapeId="0">
      <text>
        <r>
          <rPr>
            <b/>
            <sz val="10"/>
            <color indexed="81"/>
            <rFont val="Tahoma"/>
            <family val="2"/>
          </rPr>
          <t>OPS AND MACHINERY INSURANCE</t>
        </r>
        <r>
          <rPr>
            <sz val="10"/>
            <color indexed="81"/>
            <rFont val="Tahoma"/>
            <family val="2"/>
          </rPr>
          <t xml:space="preserve">
</t>
        </r>
        <r>
          <rPr>
            <b/>
            <sz val="10"/>
            <color indexed="81"/>
            <rFont val="Tahoma"/>
            <family val="2"/>
          </rPr>
          <t xml:space="preserve">
Neil S-C, 3/29/99</t>
        </r>
        <r>
          <rPr>
            <sz val="10"/>
            <color indexed="81"/>
            <rFont val="Tahoma"/>
            <family val="2"/>
          </rPr>
          <t xml:space="preserve">
New revision has put the Replacement Value at $150M with a rate of 0.128%
</t>
        </r>
        <r>
          <rPr>
            <b/>
            <sz val="10"/>
            <color indexed="81"/>
            <rFont val="Tahoma"/>
            <family val="2"/>
          </rPr>
          <t>Neil S-C x66527, 3/8/99</t>
        </r>
        <r>
          <rPr>
            <sz val="10"/>
            <color indexed="81"/>
            <rFont val="Tahoma"/>
            <family val="2"/>
          </rPr>
          <t xml:space="preserve">
This decrease about $40K base on Agatha's new estimates
</t>
        </r>
        <r>
          <rPr>
            <b/>
            <sz val="10"/>
            <color indexed="81"/>
            <rFont val="Tahoma"/>
            <family val="2"/>
          </rPr>
          <t xml:space="preserve">
Sheetal J Bajoria x3-5692, </t>
        </r>
        <r>
          <rPr>
            <sz val="10"/>
            <color indexed="81"/>
            <rFont val="Tahoma"/>
            <family val="2"/>
          </rPr>
          <t>1/27/99:
wrt Email from Paul Clayton, CORP INSR, to Agatha Andraczke on 1/20/99.   Number based on corporate allocation of costs.</t>
        </r>
      </text>
    </comment>
    <comment ref="N33" authorId="2" shapeId="0">
      <text>
        <r>
          <rPr>
            <b/>
            <sz val="8"/>
            <color indexed="81"/>
            <rFont val="Tahoma"/>
          </rPr>
          <t>Utilities:</t>
        </r>
        <r>
          <rPr>
            <sz val="8"/>
            <color indexed="81"/>
            <rFont val="Tahoma"/>
            <family val="2"/>
          </rPr>
          <t xml:space="preserve">
Neil S-C, 3/1/99
Agatha calculated these and I have her back up in the binders.</t>
        </r>
      </text>
    </comment>
    <comment ref="I35" authorId="0" shapeId="0">
      <text>
        <r>
          <rPr>
            <b/>
            <sz val="8"/>
            <color indexed="81"/>
            <rFont val="Tahoma"/>
          </rPr>
          <t xml:space="preserve">DEBT SELECTOR: NORMAL OR ALTERNATE
</t>
        </r>
        <r>
          <rPr>
            <sz val="8"/>
            <color indexed="81"/>
            <rFont val="Tahoma"/>
            <family val="2"/>
          </rPr>
          <t xml:space="preserve">
The Alternate choice is built off of the CSFB debt terms.</t>
        </r>
      </text>
    </comment>
    <comment ref="N35" authorId="2" shapeId="0">
      <text>
        <r>
          <rPr>
            <b/>
            <sz val="8"/>
            <color indexed="81"/>
            <rFont val="Tahoma"/>
          </rPr>
          <t>INTERCONNECTION FEES:</t>
        </r>
        <r>
          <rPr>
            <sz val="8"/>
            <color indexed="81"/>
            <rFont val="Tahoma"/>
            <family val="2"/>
          </rPr>
          <t xml:space="preserve">
Neil S-C, 3/2/99
Kevin Presto estimates that this will come in about 3% of the Elec. Interconnect Fee.</t>
        </r>
      </text>
    </comment>
    <comment ref="F39" authorId="2" shapeId="0">
      <text>
        <r>
          <rPr>
            <b/>
            <sz val="8"/>
            <color indexed="81"/>
            <rFont val="Tahoma"/>
          </rPr>
          <t xml:space="preserve">Tranche A:
</t>
        </r>
        <r>
          <rPr>
            <sz val="8"/>
            <color indexed="81"/>
            <rFont val="Tahoma"/>
            <family val="2"/>
          </rPr>
          <t xml:space="preserve">
On a portfolio basis this tranche has 16.2% of the total debt.  See Consolidated Model</t>
        </r>
      </text>
    </comment>
    <comment ref="G39" authorId="2" shapeId="0">
      <text>
        <r>
          <rPr>
            <b/>
            <sz val="8"/>
            <color indexed="81"/>
            <rFont val="Tahoma"/>
          </rPr>
          <t xml:space="preserve">Tranche B:
</t>
        </r>
        <r>
          <rPr>
            <sz val="8"/>
            <color indexed="81"/>
            <rFont val="Tahoma"/>
            <family val="2"/>
          </rPr>
          <t xml:space="preserve">
On a portfolio basis this tranche has 29.68% of the debt.  See the consolidated model.</t>
        </r>
      </text>
    </comment>
    <comment ref="H39" authorId="2" shapeId="0">
      <text>
        <r>
          <rPr>
            <b/>
            <sz val="8"/>
            <color indexed="81"/>
            <rFont val="Tahoma"/>
          </rPr>
          <t xml:space="preserve">Tranche C:
</t>
        </r>
        <r>
          <rPr>
            <sz val="8"/>
            <color indexed="81"/>
            <rFont val="Tahoma"/>
            <family val="2"/>
          </rPr>
          <t xml:space="preserve">
On a portfolio basis this tranche has 54.19% of the total debt.  See consolidated model.</t>
        </r>
      </text>
    </comment>
    <comment ref="I39" authorId="2" shapeId="0">
      <text>
        <r>
          <rPr>
            <b/>
            <sz val="8"/>
            <color indexed="81"/>
            <rFont val="Tahoma"/>
          </rPr>
          <t xml:space="preserve">Debt:
</t>
        </r>
        <r>
          <rPr>
            <sz val="8"/>
            <color indexed="81"/>
            <rFont val="Tahoma"/>
            <family val="2"/>
          </rPr>
          <t xml:space="preserve">
This has been backed into assuming that the portfolio will be leveraged 75%.</t>
        </r>
      </text>
    </comment>
    <comment ref="B45" authorId="2" shapeId="0">
      <text>
        <r>
          <rPr>
            <b/>
            <sz val="8"/>
            <color indexed="81"/>
            <rFont val="Tahoma"/>
          </rPr>
          <t xml:space="preserve">IDC Rate:
Neil S-C: 5/28/99
</t>
        </r>
        <r>
          <rPr>
            <sz val="8"/>
            <color indexed="81"/>
            <rFont val="Tahoma"/>
            <family val="2"/>
          </rPr>
          <t>On May 21 1999 the West LB loan was repaid and funding was continued from Enron Corp. at 6.5%</t>
        </r>
        <r>
          <rPr>
            <b/>
            <sz val="8"/>
            <color indexed="81"/>
            <rFont val="Tahoma"/>
          </rPr>
          <t xml:space="preserve">
Neil S-C: 2/16/99
</t>
        </r>
        <r>
          <rPr>
            <sz val="8"/>
            <color indexed="81"/>
            <rFont val="Tahoma"/>
            <family val="2"/>
          </rPr>
          <t xml:space="preserve">
Enron Capital &amp; Trade Resources confirmation memo to Rodney Malcom for Swap Transaction Deal No. M140023</t>
        </r>
      </text>
    </comment>
    <comment ref="C45" authorId="0" shapeId="0">
      <text>
        <r>
          <rPr>
            <b/>
            <sz val="8"/>
            <color indexed="81"/>
            <rFont val="Tahoma"/>
          </rPr>
          <t xml:space="preserve">IDC:
Neil S-C:
</t>
        </r>
        <r>
          <rPr>
            <sz val="8"/>
            <color indexed="81"/>
            <rFont val="Tahoma"/>
            <family val="2"/>
          </rPr>
          <t>This model has an IDC sheet that can check this calculation.  Shelly May's group and the accountants are responsilbe for calculating this so it is input directly from the Control Budget.</t>
        </r>
        <r>
          <rPr>
            <b/>
            <sz val="8"/>
            <color indexed="81"/>
            <rFont val="Tahoma"/>
          </rPr>
          <t xml:space="preserve">
</t>
        </r>
      </text>
    </comment>
    <comment ref="C50" authorId="2" shapeId="0">
      <text>
        <r>
          <rPr>
            <b/>
            <sz val="8"/>
            <color indexed="81"/>
            <rFont val="Tahoma"/>
          </rPr>
          <t>Total Uses:
Neil S-C:</t>
        </r>
        <r>
          <rPr>
            <sz val="8"/>
            <color indexed="81"/>
            <rFont val="Tahoma"/>
            <family val="2"/>
          </rPr>
          <t xml:space="preserve">
All cost info is input off of the Control Budget generated by  Shelly May's team.  The individuals responsilble for each cost are also on the Drowdown schedule sent out by Shelly's group on a weekly basis.</t>
        </r>
        <r>
          <rPr>
            <b/>
            <sz val="8"/>
            <color indexed="81"/>
            <rFont val="Tahoma"/>
          </rPr>
          <t xml:space="preserve">
The latest Version is # 28</t>
        </r>
      </text>
    </comment>
    <comment ref="N60" authorId="2" shapeId="0">
      <text>
        <r>
          <rPr>
            <b/>
            <sz val="8"/>
            <color indexed="81"/>
            <rFont val="Tahoma"/>
          </rPr>
          <t xml:space="preserve">Start Up Fuel Cost:
</t>
        </r>
        <r>
          <rPr>
            <sz val="8"/>
            <color indexed="81"/>
            <rFont val="Tahoma"/>
            <family val="2"/>
          </rPr>
          <t>The costs came from Kevin Presto's group.  We are not showing this as it is a pass through and is not refelcted in the consolidated model.</t>
        </r>
      </text>
    </comment>
    <comment ref="N64" authorId="0" shapeId="0">
      <text>
        <r>
          <rPr>
            <b/>
            <sz val="10"/>
            <color indexed="81"/>
            <rFont val="Tahoma"/>
            <family val="2"/>
          </rPr>
          <t xml:space="preserve">STATE INCOME TAX RATE
Sheetal J Bajoria x3-5692:
</t>
        </r>
        <r>
          <rPr>
            <sz val="10"/>
            <color indexed="81"/>
            <rFont val="Tahoma"/>
            <family val="2"/>
          </rPr>
          <t xml:space="preserve">Per Memo from Patrick Maloy to Ryan Tull, dated 5 june 98:  The maximum state tax rate in MS is 5%. We should clarify if we need to pay this max rate
</t>
        </r>
      </text>
    </comment>
    <comment ref="K66" authorId="0" shapeId="0">
      <text>
        <r>
          <rPr>
            <b/>
            <sz val="8"/>
            <color indexed="81"/>
            <rFont val="Tahoma"/>
          </rPr>
          <t xml:space="preserve">SALES AND USE TAX TO ULTIMATE CONSUMER:
Sheetal J Bajoria x3-5692, Jan 27,99:
Per Memo from Patrick Maloy to Ryan Tull, dated 5 june 98:
</t>
        </r>
        <r>
          <rPr>
            <sz val="8"/>
            <color indexed="81"/>
            <rFont val="Tahoma"/>
          </rPr>
          <t xml:space="preserve">
was Called State Utility Gross Receipts tax. Now changed to Sales and Use tax as per memo.</t>
        </r>
      </text>
    </comment>
    <comment ref="N66" authorId="0" shapeId="0">
      <text>
        <r>
          <rPr>
            <b/>
            <sz val="10"/>
            <color indexed="81"/>
            <rFont val="Tahoma"/>
            <family val="2"/>
          </rPr>
          <t>GROSS RECEIPTS TAX RATE</t>
        </r>
        <r>
          <rPr>
            <sz val="10"/>
            <color indexed="81"/>
            <rFont val="Tahoma"/>
            <family val="2"/>
          </rPr>
          <t xml:space="preserve">
</t>
        </r>
        <r>
          <rPr>
            <b/>
            <sz val="10"/>
            <color indexed="81"/>
            <rFont val="Tahoma"/>
            <family val="2"/>
          </rPr>
          <t>Neil S-C: 3/12/99</t>
        </r>
        <r>
          <rPr>
            <sz val="10"/>
            <color indexed="81"/>
            <rFont val="Tahoma"/>
            <family val="2"/>
          </rPr>
          <t xml:space="preserve">
This gross receipts tax treatment will change if the plant sells directly to the customer.
</t>
        </r>
        <r>
          <rPr>
            <b/>
            <sz val="10"/>
            <color indexed="81"/>
            <rFont val="Tahoma"/>
            <family val="2"/>
          </rPr>
          <t>Sheetal J Bajoria x3-5692, Jan 27,99:</t>
        </r>
        <r>
          <rPr>
            <sz val="10"/>
            <color indexed="81"/>
            <rFont val="Tahoma"/>
            <family val="2"/>
          </rPr>
          <t xml:space="preserve">
Per Memo from Patrick Maloy, ECT Multistate Tax Services to Ryan Tull, dated 5 june 98:
The project is exempt from Sales and Use tax on Sales to EPMI because EPMI will be reselling the electricity.   
EPMI has  to execute an Exemption Ceritficate with the project company in order to legally protect Cogen by documenting the EPMI will resell the electricity.</t>
        </r>
      </text>
    </comment>
    <comment ref="K67" authorId="0" shapeId="0">
      <text>
        <r>
          <rPr>
            <b/>
            <sz val="8"/>
            <color indexed="81"/>
            <rFont val="Tahoma"/>
          </rPr>
          <t xml:space="preserve">SALES AND USE TAX ON SALES TO EPMI:
Sheetal J Bajoria x3-5692, Jan 27,99:
Per Memo from Patrick Maloy to Ryan Tull, dated 5 june 98:
</t>
        </r>
        <r>
          <rPr>
            <sz val="8"/>
            <color indexed="81"/>
            <rFont val="Tahoma"/>
          </rPr>
          <t xml:space="preserve">
was Called State Utility Gross Receipts tax. Now changed to Sales and Use tax as per memo.</t>
        </r>
      </text>
    </comment>
    <comment ref="N67" authorId="0" shapeId="0">
      <text>
        <r>
          <rPr>
            <b/>
            <sz val="10"/>
            <color indexed="81"/>
            <rFont val="Tahoma"/>
            <family val="2"/>
          </rPr>
          <t xml:space="preserve">SALES AND USE TAX RATES:
</t>
        </r>
        <r>
          <rPr>
            <sz val="10"/>
            <color indexed="81"/>
            <rFont val="Tahoma"/>
            <family val="2"/>
          </rPr>
          <t xml:space="preserve">
</t>
        </r>
        <r>
          <rPr>
            <b/>
            <sz val="10"/>
            <color indexed="81"/>
            <rFont val="Tahoma"/>
            <family val="2"/>
          </rPr>
          <t>Sheetal J Bajoria x3-5692, Jan 27,99:</t>
        </r>
        <r>
          <rPr>
            <sz val="10"/>
            <color indexed="81"/>
            <rFont val="Tahoma"/>
            <family val="2"/>
          </rPr>
          <t xml:space="preserve">
Per Memo from Patrick Maloy, ECT Multistate Tax Services to Ryan Tull, dated 5 june 98:
A gross reciepts tax of 0.164%from sales to ultimate consumer is payable to pay for the expenses of PUC.  This is regardless of whether the util/pwr company's rates are regulated by or not. 
If EPMI sells the power to a retail customer, it will be subject to the Gr tax of 0.164%. 
</t>
        </r>
      </text>
    </comment>
    <comment ref="N68" authorId="0" shapeId="0">
      <text>
        <r>
          <rPr>
            <b/>
            <sz val="10"/>
            <color indexed="81"/>
            <rFont val="Tahoma"/>
            <family val="2"/>
          </rPr>
          <t xml:space="preserve">STATE FRANCHISE TAX RATE ON CORPORATE CAPITAL
Neil S-C, 3/12/99
</t>
        </r>
        <r>
          <rPr>
            <sz val="10"/>
            <color indexed="81"/>
            <rFont val="Tahoma"/>
            <family val="2"/>
          </rPr>
          <t xml:space="preserve">
This has been zeroed out as of 7/8/99 as per Matt Gockerman</t>
        </r>
        <r>
          <rPr>
            <b/>
            <sz val="10"/>
            <color indexed="81"/>
            <rFont val="Tahoma"/>
            <family val="2"/>
          </rPr>
          <t xml:space="preserve">
</t>
        </r>
        <r>
          <rPr>
            <sz val="10"/>
            <color indexed="81"/>
            <rFont val="Tahoma"/>
            <family val="2"/>
          </rPr>
          <t xml:space="preserve">
Memo from Pat Maloy dated 2/26/99
-.25% on Capital, Contributed Capital, Paid in Capital, Surplus, Retained Earnings, and Loans.</t>
        </r>
        <r>
          <rPr>
            <b/>
            <sz val="10"/>
            <color indexed="81"/>
            <rFont val="Tahoma"/>
            <family val="2"/>
          </rPr>
          <t xml:space="preserve">
Sheetal J Bajoria x3-5692:
</t>
        </r>
        <r>
          <rPr>
            <sz val="10"/>
            <color indexed="81"/>
            <rFont val="Tahoma"/>
            <family val="2"/>
          </rPr>
          <t xml:space="preserve">
Per Memo from Patrick Maloy to Ryan Tull, dated 5 June 98:
There is a franchise tax on corporate capital of .25%, which the Fulton project would have been subject to. Since this plant is in MS as well, we should calculate this tax.
</t>
        </r>
      </text>
    </comment>
    <comment ref="N69" authorId="0" shapeId="0">
      <text>
        <r>
          <rPr>
            <b/>
            <sz val="10"/>
            <color indexed="81"/>
            <rFont val="Tahoma"/>
            <family val="2"/>
          </rPr>
          <t xml:space="preserve">SALES AND USE TAX ON FUEL 
Sheetal J Bajoria x3-5692, Jan 27,99:
</t>
        </r>
        <r>
          <rPr>
            <sz val="10"/>
            <color indexed="81"/>
            <rFont val="Tahoma"/>
            <family val="2"/>
          </rPr>
          <t xml:space="preserve">Per Memo from Patrick Maloy to Ryan Tull, dated 5 June 98:
A Sales and Use tax of 1.5% is payable  on all raw material  (TPP- Tangible Personal Property) that the company consumes directly to manufacture electricity for sale to ultimate consumer.
</t>
        </r>
        <r>
          <rPr>
            <b/>
            <sz val="10"/>
            <color indexed="81"/>
            <rFont val="Tahoma"/>
            <family val="2"/>
          </rPr>
          <t xml:space="preserve">Otherwise, </t>
        </r>
        <r>
          <rPr>
            <sz val="10"/>
            <color indexed="81"/>
            <rFont val="Tahoma"/>
            <family val="2"/>
          </rPr>
          <t xml:space="preserve">Tangible personal propery TPP is taxable at a rate of 7%. Machinery,  lease and rentals are subject to this tax.
</t>
        </r>
        <r>
          <rPr>
            <b/>
            <sz val="10"/>
            <color indexed="81"/>
            <rFont val="Tahoma"/>
            <family val="2"/>
          </rPr>
          <t xml:space="preserve">Therefore </t>
        </r>
        <r>
          <rPr>
            <sz val="10"/>
            <color indexed="81"/>
            <rFont val="Tahoma"/>
            <family val="2"/>
          </rPr>
          <t>1.5% should be used here.</t>
        </r>
      </text>
    </comment>
    <comment ref="I70" authorId="0" shapeId="0">
      <text>
        <r>
          <rPr>
            <b/>
            <sz val="8"/>
            <color indexed="81"/>
            <rFont val="Tahoma"/>
          </rPr>
          <t>AFTER TAX NPV
Sheetal J Bajoria x3-5692:</t>
        </r>
        <r>
          <rPr>
            <sz val="8"/>
            <color indexed="81"/>
            <rFont val="Tahoma"/>
          </rPr>
          <t xml:space="preserve">
2/10/99 uses all after tax cash flow. Not restricted by Net Income.  Balance sheet/Retained Earnings will need to be corrected.
</t>
        </r>
      </text>
    </comment>
    <comment ref="E105" authorId="0" shapeId="0">
      <text>
        <r>
          <rPr>
            <b/>
            <sz val="8"/>
            <color indexed="81"/>
            <rFont val="Tahoma"/>
          </rPr>
          <t>Sheetal J Bajoria x3-5692:</t>
        </r>
        <r>
          <rPr>
            <sz val="8"/>
            <color indexed="81"/>
            <rFont val="Tahoma"/>
          </rPr>
          <t xml:space="preserve">
Why have 6 months been used? The  plant runs for 7 months if commerical ops starts on Jun1.
</t>
        </r>
      </text>
    </comment>
  </commentList>
</comments>
</file>

<file path=xl/comments2.xml><?xml version="1.0" encoding="utf-8"?>
<comments xmlns="http://schemas.openxmlformats.org/spreadsheetml/2006/main">
  <authors>
    <author>nsainsb</author>
    <author>Bryan Garrett</author>
    <author>Sheetal J Bajoria x3-5692</author>
  </authors>
  <commentList>
    <comment ref="W6" authorId="0" shapeId="0">
      <text>
        <r>
          <rPr>
            <b/>
            <sz val="8"/>
            <color indexed="81"/>
            <rFont val="Tahoma"/>
          </rPr>
          <t>3/23/99
Neil S-C</t>
        </r>
        <r>
          <rPr>
            <sz val="8"/>
            <color indexed="81"/>
            <rFont val="Tahoma"/>
            <family val="2"/>
          </rPr>
          <t xml:space="preserve">
This is a 20 Year deal starting 7/99.  If we go 5 months in this year you could argue that no run hours is a legitimate scenario.  Rodney Malcolm suggested we do a full year here.  I have not found any document or agreement binds us to 20 years.</t>
        </r>
      </text>
    </comment>
    <comment ref="C21" authorId="1"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D63" authorId="2" shapeId="0">
      <text>
        <r>
          <rPr>
            <b/>
            <sz val="8"/>
            <color indexed="81"/>
            <rFont val="Tahoma"/>
          </rPr>
          <t>Sheetal J Bajoria x3-5692:</t>
        </r>
        <r>
          <rPr>
            <sz val="8"/>
            <color indexed="81"/>
            <rFont val="Tahoma"/>
          </rPr>
          <t xml:space="preserve">
from Kaiser estimates
</t>
        </r>
      </text>
    </comment>
    <comment ref="D64" authorId="2" shapeId="0">
      <text>
        <r>
          <rPr>
            <b/>
            <sz val="8"/>
            <color indexed="81"/>
            <rFont val="Tahoma"/>
          </rPr>
          <t>Sheetal J Bajoria x3-5692:</t>
        </r>
        <r>
          <rPr>
            <sz val="8"/>
            <color indexed="81"/>
            <rFont val="Tahoma"/>
          </rPr>
          <t xml:space="preserve">
from Kaiser estimates
</t>
        </r>
      </text>
    </comment>
    <comment ref="A68" authorId="2" shapeId="0">
      <text>
        <r>
          <rPr>
            <b/>
            <sz val="8"/>
            <color indexed="81"/>
            <rFont val="Tahoma"/>
          </rPr>
          <t>Sheetal J Bajoria x3-5692:</t>
        </r>
        <r>
          <rPr>
            <sz val="8"/>
            <color indexed="81"/>
            <rFont val="Tahoma"/>
          </rPr>
          <t xml:space="preserve">
from ICF kaisiser presentationn dated Sept 23, 98, ppage 36,</t>
        </r>
      </text>
    </comment>
    <comment ref="A69" authorId="2" shapeId="0">
      <text>
        <r>
          <rPr>
            <b/>
            <sz val="8"/>
            <color indexed="81"/>
            <rFont val="Tahoma"/>
          </rPr>
          <t>Sheetal J Bajoria x3-5692:</t>
        </r>
        <r>
          <rPr>
            <sz val="8"/>
            <color indexed="81"/>
            <rFont val="Tahoma"/>
          </rPr>
          <t xml:space="preserve">
from ICF kaisiser presentationn dated Sept 23, 98, ppage 36,</t>
        </r>
      </text>
    </comment>
    <comment ref="A73" authorId="2" shapeId="0">
      <text>
        <r>
          <rPr>
            <b/>
            <sz val="8"/>
            <color indexed="81"/>
            <rFont val="Tahoma"/>
          </rPr>
          <t>Sheetal J Bajoria x3-5692:</t>
        </r>
        <r>
          <rPr>
            <sz val="8"/>
            <color indexed="81"/>
            <rFont val="Tahoma"/>
          </rPr>
          <t xml:space="preserve">
Based on 1996 numbers, escalated at 3%</t>
        </r>
      </text>
    </comment>
    <comment ref="A78" authorId="0" shapeId="0">
      <text>
        <r>
          <rPr>
            <b/>
            <sz val="8"/>
            <color indexed="81"/>
            <rFont val="Tahoma"/>
          </rPr>
          <t xml:space="preserve">Energy Curve:
Neil S-C, 2/17/99
</t>
        </r>
        <r>
          <rPr>
            <sz val="8"/>
            <color indexed="81"/>
            <rFont val="Tahoma"/>
            <family val="2"/>
          </rPr>
          <t>From the ICF Kaiser Market Assessment of TVA dated 9/23/98</t>
        </r>
      </text>
    </comment>
    <comment ref="A79" authorId="0"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nsainsb</author>
    <author>Sheetal J Bajoria x3-5692</author>
  </authors>
  <commentList>
    <comment ref="E17" authorId="0" shapeId="0">
      <text>
        <r>
          <rPr>
            <b/>
            <sz val="8"/>
            <color indexed="81"/>
            <rFont val="Tahoma"/>
          </rPr>
          <t xml:space="preserve">Evap Coolers:
Neil S-C 5/5/99
</t>
        </r>
        <r>
          <rPr>
            <sz val="8"/>
            <color indexed="81"/>
            <rFont val="Tahoma"/>
            <family val="2"/>
          </rPr>
          <t>Estimated at $400k to $500k per turbine according to Mike Miller and will use the more conservative until the numbers are firmed up.</t>
        </r>
      </text>
    </comment>
    <comment ref="A37" authorId="1" shapeId="0">
      <text>
        <r>
          <rPr>
            <b/>
            <sz val="8"/>
            <color indexed="81"/>
            <rFont val="Tahoma"/>
          </rPr>
          <t>Sheetal J Bajoria x3-5692:
Cash payout Restricted to Net income.</t>
        </r>
      </text>
    </comment>
  </commentList>
</comments>
</file>

<file path=xl/comments4.xml><?xml version="1.0" encoding="utf-8"?>
<comments xmlns="http://schemas.openxmlformats.org/spreadsheetml/2006/main">
  <authors>
    <author>bgarret</author>
  </authors>
  <commentList>
    <comment ref="B36" authorId="0" shapeId="0">
      <text>
        <r>
          <rPr>
            <b/>
            <sz val="8"/>
            <color indexed="81"/>
            <rFont val="Tahoma"/>
          </rPr>
          <t>bgarret:</t>
        </r>
        <r>
          <rPr>
            <sz val="8"/>
            <color indexed="81"/>
            <rFont val="Tahoma"/>
          </rPr>
          <t xml:space="preserve">
should vary with term of debt.
</t>
        </r>
      </text>
    </comment>
  </commentList>
</comments>
</file>

<file path=xl/comments5.xml><?xml version="1.0" encoding="utf-8"?>
<comments xmlns="http://schemas.openxmlformats.org/spreadsheetml/2006/main">
  <authors>
    <author>Sheetal J Bajoria x3-5692</author>
    <author>nsainsb</author>
  </authors>
  <commentList>
    <comment ref="X7" authorId="0" shapeId="0">
      <text>
        <r>
          <rPr>
            <b/>
            <sz val="8"/>
            <color indexed="81"/>
            <rFont val="Tahoma"/>
          </rPr>
          <t>Sheetal J Bajoria x3-5692:</t>
        </r>
        <r>
          <rPr>
            <sz val="8"/>
            <color indexed="81"/>
            <rFont val="Tahoma"/>
          </rPr>
          <t xml:space="preserve">
changed to 120 per year
</t>
        </r>
      </text>
    </comment>
    <comment ref="Y7" authorId="0" shapeId="0">
      <text>
        <r>
          <rPr>
            <b/>
            <sz val="8"/>
            <color indexed="81"/>
            <rFont val="Tahoma"/>
          </rPr>
          <t>Sheetal J Bajoria x3-5692:</t>
        </r>
        <r>
          <rPr>
            <sz val="8"/>
            <color indexed="81"/>
            <rFont val="Tahoma"/>
          </rPr>
          <t xml:space="preserve">
changed to 120 per year
</t>
        </r>
      </text>
    </comment>
    <comment ref="Z7" authorId="0" shapeId="0">
      <text>
        <r>
          <rPr>
            <b/>
            <sz val="8"/>
            <color indexed="81"/>
            <rFont val="Tahoma"/>
          </rPr>
          <t>Sheetal J Bajoria x3-5692:</t>
        </r>
        <r>
          <rPr>
            <sz val="8"/>
            <color indexed="81"/>
            <rFont val="Tahoma"/>
          </rPr>
          <t xml:space="preserve">
changed to 120 per year
</t>
        </r>
      </text>
    </comment>
    <comment ref="AA7" authorId="0" shapeId="0">
      <text>
        <r>
          <rPr>
            <b/>
            <sz val="8"/>
            <color indexed="81"/>
            <rFont val="Tahoma"/>
          </rPr>
          <t>Sheetal J Bajoria x3-5692:</t>
        </r>
        <r>
          <rPr>
            <sz val="8"/>
            <color indexed="81"/>
            <rFont val="Tahoma"/>
          </rPr>
          <t xml:space="preserve">
changed to 120 per year
</t>
        </r>
      </text>
    </comment>
    <comment ref="A12" authorId="1" shapeId="0">
      <text>
        <r>
          <rPr>
            <b/>
            <sz val="8"/>
            <color indexed="81"/>
            <rFont val="Tahoma"/>
          </rPr>
          <t xml:space="preserve">Cost Schedule:
</t>
        </r>
        <r>
          <rPr>
            <sz val="8"/>
            <color indexed="81"/>
            <rFont val="Tahoma"/>
            <family val="2"/>
          </rPr>
          <t>This come directly from the OEC vender recommended cost schedules.</t>
        </r>
      </text>
    </comment>
  </commentList>
</comments>
</file>

<file path=xl/sharedStrings.xml><?xml version="1.0" encoding="utf-8"?>
<sst xmlns="http://schemas.openxmlformats.org/spreadsheetml/2006/main" count="1564" uniqueCount="715">
  <si>
    <t>Years</t>
  </si>
  <si>
    <t>Power Capacity Factor</t>
  </si>
  <si>
    <t>Revenues</t>
  </si>
  <si>
    <t>EBITDA</t>
  </si>
  <si>
    <t>EBIT</t>
  </si>
  <si>
    <t>EBT</t>
  </si>
  <si>
    <t>Operations</t>
  </si>
  <si>
    <t>Year</t>
  </si>
  <si>
    <t>Principal</t>
  </si>
  <si>
    <t>Miscellaneous</t>
  </si>
  <si>
    <t>Interconnection Fees</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</si>
  <si>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</si>
  <si>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</si>
  <si>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</si>
  <si>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</si>
  <si>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</si>
  <si>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</si>
  <si>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</si>
  <si>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</si>
  <si>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</si>
  <si>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</si>
  <si>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</si>
  <si>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</si>
  <si>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</si>
  <si>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</si>
  <si>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</si>
  <si>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</si>
  <si>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</si>
  <si>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</si>
  <si>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</si>
  <si>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</si>
  <si>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</si>
  <si>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</si>
  <si>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</si>
  <si>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</si>
  <si>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</si>
  <si>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</si>
  <si>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</si>
  <si>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</si>
  <si>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</si>
  <si>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</si>
  <si>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</si>
  <si>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</si>
  <si>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</si>
  <si>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</si>
  <si>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</si>
  <si>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</si>
  <si>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</si>
  <si>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</si>
  <si>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</si>
  <si>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</si>
  <si>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</si>
  <si>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</si>
  <si>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</si>
  <si>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</si>
  <si>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</si>
  <si>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</si>
  <si>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</si>
  <si>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</si>
  <si>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</si>
  <si>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Sources of Funds</t>
  </si>
  <si>
    <t>Uses of Funds</t>
  </si>
  <si>
    <t xml:space="preserve">  Lender's Counsel</t>
  </si>
  <si>
    <t>After-Tax XIRR</t>
  </si>
  <si>
    <t>Pre-Tax XNPV</t>
  </si>
  <si>
    <t>After-Tax XNPV</t>
  </si>
  <si>
    <t>XNPV</t>
  </si>
  <si>
    <t>Required Return on Equity</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</si>
  <si>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</si>
  <si>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</si>
  <si>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</si>
  <si>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</si>
  <si>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</si>
  <si>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</si>
  <si>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</si>
  <si>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</si>
  <si>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</si>
  <si>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</si>
  <si>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</si>
  <si>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</si>
  <si>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</si>
  <si>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</si>
  <si>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</si>
  <si>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</si>
  <si>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</si>
  <si>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</si>
  <si>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Peak Fuel BBtu</t>
  </si>
  <si>
    <t xml:space="preserve">   Fuel $/MWH</t>
  </si>
  <si>
    <t xml:space="preserve">   Taxable Income</t>
  </si>
  <si>
    <t xml:space="preserve">   Federal Tax Expense (Benefit)</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</si>
  <si>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</si>
  <si>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</si>
  <si>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</si>
  <si>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</si>
  <si>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</si>
  <si>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</si>
  <si>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</si>
  <si>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</si>
  <si>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</si>
  <si>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</si>
  <si>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</si>
  <si>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</si>
  <si>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</si>
  <si>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</si>
  <si>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</si>
  <si>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</si>
  <si>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</si>
  <si>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</si>
  <si>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</si>
  <si>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</si>
  <si>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</si>
  <si>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</si>
  <si>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</si>
  <si>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</si>
  <si>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</si>
  <si>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</si>
  <si>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Mileage rate for County Tax</t>
  </si>
  <si>
    <t>Mileage Rate for School Tax</t>
  </si>
  <si>
    <t>Years of School Tax Abatement</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</si>
  <si>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</si>
  <si>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</si>
  <si>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</si>
  <si>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</si>
  <si>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</si>
  <si>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</si>
  <si>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</si>
  <si>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</si>
  <si>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</si>
  <si>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</si>
  <si>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</si>
  <si>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</si>
  <si>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</si>
  <si>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</si>
  <si>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</si>
  <si>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</si>
  <si>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</si>
  <si>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</si>
  <si>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</si>
  <si>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</si>
  <si>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</si>
  <si>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</si>
  <si>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Capacity ($/kw-mo)</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</si>
  <si>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</si>
  <si>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</si>
  <si>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</si>
  <si>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</si>
  <si>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</si>
  <si>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</si>
  <si>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</si>
  <si>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Variable O&amp;M $/MWh</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</si>
  <si>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</si>
  <si>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</si>
  <si>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</si>
  <si>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</si>
  <si>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</si>
  <si>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</si>
  <si>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</si>
  <si>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</si>
  <si>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</si>
  <si>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</si>
  <si>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</si>
  <si>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</si>
  <si>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</si>
  <si>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</si>
  <si>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</si>
  <si>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</si>
  <si>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</si>
  <si>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</si>
  <si>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</si>
  <si>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</si>
  <si>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</si>
  <si>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</si>
  <si>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Revenue</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</si>
  <si>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</si>
  <si>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</si>
  <si>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</si>
  <si>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</si>
  <si>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</si>
  <si>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</si>
  <si>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</si>
  <si>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Yes</t>
  </si>
  <si>
    <t>Allow Residual Capacity Value?</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</si>
  <si>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</si>
  <si>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</si>
  <si>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</si>
  <si>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</si>
  <si>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</si>
  <si>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</si>
  <si>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</si>
  <si>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</si>
  <si>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</si>
  <si>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</si>
  <si>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</si>
  <si>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</si>
  <si>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</si>
  <si>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</si>
  <si>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</si>
  <si>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</si>
  <si>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</si>
  <si>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</si>
  <si>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</si>
  <si>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</si>
  <si>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</si>
  <si>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</si>
  <si>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</si>
  <si>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</si>
  <si>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</si>
  <si>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</si>
  <si>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</si>
  <si>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</si>
  <si>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</si>
  <si>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</si>
  <si>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</si>
  <si>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</si>
  <si>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</si>
  <si>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</si>
  <si>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</si>
  <si>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</si>
  <si>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</si>
  <si>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</si>
  <si>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</si>
  <si>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</si>
  <si>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</si>
  <si>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</si>
  <si>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</si>
  <si>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</si>
  <si>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</si>
  <si>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Electricity Interconnection Costs</t>
  </si>
  <si>
    <t xml:space="preserve">  Gas Interconnection Costs</t>
  </si>
  <si>
    <t xml:space="preserve">  Contingency</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</si>
  <si>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</si>
  <si>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</si>
  <si>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</si>
  <si>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</si>
  <si>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</si>
  <si>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</si>
  <si>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</si>
  <si>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</si>
  <si>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</si>
  <si>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</si>
  <si>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</si>
  <si>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</si>
  <si>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</si>
  <si>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</si>
  <si>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</si>
  <si>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</si>
  <si>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</si>
  <si>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</si>
  <si>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</si>
  <si>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</si>
  <si>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</si>
  <si>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</si>
  <si>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</si>
  <si>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</si>
  <si>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</si>
  <si>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</si>
  <si>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</si>
  <si>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</si>
  <si>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</si>
  <si>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</si>
  <si>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</si>
  <si>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</si>
  <si>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</si>
  <si>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</si>
  <si>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</si>
  <si>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Avg Annual Int Rate Earned on EBITDA and Maint Res</t>
  </si>
  <si>
    <t>No City Taxes</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</si>
  <si>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</si>
  <si>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</si>
  <si>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</si>
  <si>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</si>
  <si>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</si>
  <si>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</si>
  <si>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</si>
  <si>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</si>
  <si>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</si>
  <si>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</si>
  <si>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</si>
  <si>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</si>
  <si>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</si>
  <si>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   Annual School Tax (with abatement)</t>
  </si>
  <si>
    <t xml:space="preserve">   Annual County Tax (with abatement)</t>
  </si>
  <si>
    <t xml:space="preserve">Years of County Tax Abatement </t>
  </si>
  <si>
    <t>W/Debt Res.</t>
  </si>
  <si>
    <t>W/O Debt Res.</t>
  </si>
  <si>
    <t xml:space="preserve">  EE&amp;CC Project Management</t>
  </si>
  <si>
    <t xml:space="preserve">  Resale Handling Fee</t>
  </si>
  <si>
    <t>Discount Rate</t>
  </si>
  <si>
    <t>NPV</t>
  </si>
  <si>
    <t>IRR</t>
  </si>
  <si>
    <t>GE 7EA</t>
  </si>
  <si>
    <t>Auction Value</t>
  </si>
  <si>
    <t>Total Value</t>
  </si>
  <si>
    <t>Less Cost</t>
  </si>
  <si>
    <t>Net Value</t>
  </si>
  <si>
    <t xml:space="preserve"> </t>
  </si>
  <si>
    <t>NPV of 2001 EBT</t>
  </si>
  <si>
    <t>NPV of 2001 Earnings</t>
  </si>
  <si>
    <t>IPO Equity Valuation*</t>
  </si>
  <si>
    <t>REIT Equity  Value**</t>
  </si>
  <si>
    <t>Multiples</t>
  </si>
  <si>
    <t>IPO Value</t>
  </si>
  <si>
    <t>*</t>
  </si>
  <si>
    <t>IPO = NPV of 2001 Earnings*Multiple-Equity-Capacity Delta</t>
  </si>
  <si>
    <t>**</t>
  </si>
  <si>
    <t>Reit =NPV of 2001  EBT*Multiple-Equity-Capacity Delta</t>
  </si>
  <si>
    <t>`</t>
  </si>
  <si>
    <t>Check with Tax</t>
  </si>
  <si>
    <t>Outstanding issues:</t>
  </si>
  <si>
    <t>Balance Sheet</t>
  </si>
  <si>
    <t>Cash</t>
  </si>
  <si>
    <t>Accounts Receivable</t>
  </si>
  <si>
    <t>Inventories</t>
  </si>
  <si>
    <t>Other Current Assets</t>
  </si>
  <si>
    <t>Debt Service Reserve</t>
  </si>
  <si>
    <t>Total Current Assets</t>
  </si>
  <si>
    <t>Gross PP&amp;E</t>
  </si>
  <si>
    <t>Accumulated Depreciation</t>
  </si>
  <si>
    <t>Net PP&amp;E</t>
  </si>
  <si>
    <t>Land</t>
  </si>
  <si>
    <t>Other Assets</t>
  </si>
  <si>
    <t>Total Assets</t>
  </si>
  <si>
    <t>Liabilities</t>
  </si>
  <si>
    <t>Accounts Payable</t>
  </si>
  <si>
    <t>Accrued Expenses</t>
  </si>
  <si>
    <t>Working Capital Revolver</t>
  </si>
  <si>
    <t>Long Term Debt</t>
  </si>
  <si>
    <t>Other Non-Current Liabilities</t>
  </si>
  <si>
    <t>Total Long-term Liabilities</t>
  </si>
  <si>
    <t>Stockholders' Equity</t>
  </si>
  <si>
    <t>Preferred Stock</t>
  </si>
  <si>
    <t>Retained Earnings</t>
  </si>
  <si>
    <t>Total Liabilities &amp; Equity</t>
  </si>
  <si>
    <t>Proof</t>
  </si>
  <si>
    <t>Working capital</t>
  </si>
  <si>
    <t>Can we reduce  Debt reserve as Debt amt falls.</t>
  </si>
  <si>
    <t>Cash Beginning Balance</t>
  </si>
  <si>
    <t xml:space="preserve">Add Cash generated </t>
  </si>
  <si>
    <t>Ending balance</t>
  </si>
  <si>
    <t>Average</t>
  </si>
  <si>
    <t xml:space="preserve">Beginning Capacity Rate Enron </t>
  </si>
  <si>
    <t xml:space="preserve">Model uses Kaiser Estimates (average):  </t>
  </si>
  <si>
    <t xml:space="preserve">   Liability Insurance </t>
  </si>
  <si>
    <t>Modelling or Assumption # change needed</t>
  </si>
  <si>
    <t>Cash out to Equity&gt;NI ok?</t>
  </si>
  <si>
    <t>State Franchise Tax Rate on Corp. Capital</t>
  </si>
  <si>
    <t>0.25% of capital tax per year is currently calced on BV of assets, It should be on stock, paid in capital, surplus, RE- less some reserves</t>
  </si>
  <si>
    <t>Sales and Use tax on Sales to EPMI</t>
  </si>
  <si>
    <t>Gross receipts tax on Sale to ultimate consumer</t>
  </si>
  <si>
    <t>Checked and verified</t>
  </si>
  <si>
    <t>$/Mwh</t>
  </si>
  <si>
    <t xml:space="preserve">   Bus. Inter. Insr.</t>
  </si>
  <si>
    <t xml:space="preserve">   Ops. and Mach. Insr.</t>
  </si>
  <si>
    <t>Actual Debt Coverage Ratio</t>
  </si>
  <si>
    <t>Error catch line</t>
  </si>
  <si>
    <t xml:space="preserve">   Fuel and start up fuel</t>
  </si>
  <si>
    <t>Consultant's Energy Curve</t>
  </si>
  <si>
    <t>Kaiser Peak</t>
  </si>
  <si>
    <t>Diff Peak-Offpeak</t>
  </si>
  <si>
    <t>Interest income: EBITDA and maintenance reserves? Not avg of cash?</t>
  </si>
  <si>
    <t>Variable OM should include major maint or not?</t>
  </si>
  <si>
    <t>Add Balance sheet</t>
  </si>
  <si>
    <t>Need back up for some numbers</t>
  </si>
  <si>
    <t xml:space="preserve">  Dividends Paid to Common Equity</t>
  </si>
  <si>
    <t>Escalation</t>
  </si>
  <si>
    <t xml:space="preserve">Accrued Interest </t>
  </si>
  <si>
    <t>Payroll and Burden</t>
  </si>
  <si>
    <t>Other O&amp;M expenses</t>
  </si>
  <si>
    <t>Insurance Cost</t>
  </si>
  <si>
    <t xml:space="preserve">   Total FIXED G&amp;A</t>
  </si>
  <si>
    <t>Variable Maintenance</t>
  </si>
  <si>
    <t>Water Treatment</t>
  </si>
  <si>
    <t>Average Property Tax per year</t>
  </si>
  <si>
    <t>CALEDONIA, Lowndes County, MS</t>
  </si>
  <si>
    <t>Average Depreciation for Property Taxes</t>
  </si>
  <si>
    <t>School Abatement rate or amount</t>
  </si>
  <si>
    <t>County Abatement rate or amount</t>
  </si>
  <si>
    <t>Need clarication of principle/verfication</t>
  </si>
  <si>
    <t>Marginal cost curve</t>
  </si>
  <si>
    <t>KAISER capacity curve</t>
  </si>
  <si>
    <t>Pass through Variable O&amp;M in Marginal Cost curve?</t>
  </si>
  <si>
    <t>Maintenance Reserves</t>
  </si>
  <si>
    <t>ASSUMPTIONS AND SUMMARY ($000)</t>
  </si>
  <si>
    <t>21 st year add % Revenues</t>
  </si>
  <si>
    <t>Moveable date format</t>
  </si>
  <si>
    <t>ECT Peak Curve</t>
  </si>
  <si>
    <t>Marginal Cost Curve</t>
  </si>
  <si>
    <t>Kaiser Off peak</t>
  </si>
  <si>
    <t>Energy Revenue Curve</t>
  </si>
  <si>
    <t>Power Pricing Summary</t>
  </si>
  <si>
    <t xml:space="preserve">   All in Power Price $/MWH</t>
  </si>
  <si>
    <t>Book Income not structurally correct for the period between debt and project life</t>
  </si>
  <si>
    <t xml:space="preserve">  Mobilization of O&amp;M</t>
  </si>
  <si>
    <t xml:space="preserve">  Development Expenses</t>
  </si>
  <si>
    <t xml:space="preserve">  Turbines</t>
  </si>
  <si>
    <t xml:space="preserve">  ABB  (Transformers and Circuit Breakers)</t>
  </si>
  <si>
    <t xml:space="preserve">  Spare Parts</t>
  </si>
  <si>
    <t xml:space="preserve">  Financing Fee</t>
  </si>
  <si>
    <t>Months of Year Merchant</t>
  </si>
  <si>
    <t>% of Capacity Under PPA</t>
  </si>
  <si>
    <t>Capacity Payment Terms</t>
  </si>
  <si>
    <t xml:space="preserve">   Capacity Escalation Index</t>
  </si>
  <si>
    <t xml:space="preserve">   Energy Revenues</t>
  </si>
  <si>
    <t xml:space="preserve">  Capacity Revenues</t>
  </si>
  <si>
    <t xml:space="preserve">   Start-Up Fuel</t>
  </si>
  <si>
    <t xml:space="preserve">  NEPCO scope (Balance of Plant Costs and Construction)</t>
  </si>
  <si>
    <t>End of Commercial Operation</t>
  </si>
  <si>
    <t>Term of ECT PPA (years)</t>
  </si>
  <si>
    <t xml:space="preserve">   Payroll &amp; Burden</t>
  </si>
  <si>
    <t xml:space="preserve">   Other O&amp;M Expenses</t>
  </si>
  <si>
    <t>$/YR</t>
  </si>
  <si>
    <t>$/KWm</t>
  </si>
  <si>
    <t>Major Maintenance</t>
  </si>
  <si>
    <t>Fixed G&amp;A</t>
  </si>
  <si>
    <t>Term Ave.</t>
  </si>
  <si>
    <t xml:space="preserve">   Breakout of Total Fixed:</t>
  </si>
  <si>
    <t xml:space="preserve">   Fixed O&amp;M (excluding Maj. Main.)</t>
  </si>
  <si>
    <t xml:space="preserve">   Fixed G&amp;A</t>
  </si>
  <si>
    <t>Net Project MW - Site</t>
  </si>
  <si>
    <t>FERC Fee</t>
  </si>
  <si>
    <t>Utilities: Start Up Power</t>
  </si>
  <si>
    <t>Utilities: Facilities Load</t>
  </si>
  <si>
    <t xml:space="preserve">   Utilities: Start Up Costs</t>
  </si>
  <si>
    <t xml:space="preserve">   Utilities: Facility Loads</t>
  </si>
  <si>
    <t>Cumulative Principal + Cum Int.</t>
  </si>
  <si>
    <t>REAL</t>
  </si>
  <si>
    <t xml:space="preserve">Tracker </t>
  </si>
  <si>
    <t>NPV at 15% 20 years After Tax</t>
  </si>
  <si>
    <t>NPV at 15% 20 years Before Tax</t>
  </si>
  <si>
    <t>YEAR</t>
  </si>
  <si>
    <t>Annual Revenues</t>
  </si>
  <si>
    <t>Annual Expenses</t>
  </si>
  <si>
    <t>1.  Models Sent to Banks on 2/23/99 - Neil Sainsbury-Carter</t>
  </si>
  <si>
    <t>Assets:</t>
  </si>
  <si>
    <t>Maintenance Reserve</t>
  </si>
  <si>
    <t>Deferred Tax Liability</t>
  </si>
  <si>
    <t>Paid-In-Capital</t>
  </si>
  <si>
    <t>Retained earnings</t>
  </si>
  <si>
    <t>Total stockholders' equity</t>
  </si>
  <si>
    <t>Total Cash Taxes</t>
  </si>
  <si>
    <t>Total Book Taxes</t>
  </si>
  <si>
    <t xml:space="preserve">  Total Deferred Tax Liability</t>
  </si>
  <si>
    <t xml:space="preserve">  Cumulative DTL</t>
  </si>
  <si>
    <t>RETURN ON EQUITY:</t>
  </si>
  <si>
    <t>CHECKS:</t>
  </si>
  <si>
    <t>Does Balance Sheet Balance</t>
  </si>
  <si>
    <t>Total Depreciable Base</t>
  </si>
  <si>
    <t>Total Project Cost</t>
  </si>
  <si>
    <t xml:space="preserve">   Undepreciated Cost</t>
  </si>
  <si>
    <t>3.  Changed the depreciable base to include EE&amp;CC Pro Manag't and Expense EI O&amp;M Mob in 1st year.</t>
  </si>
  <si>
    <t>2.  New Cost Summary from Shelly May - 2/25/99</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</si>
  <si>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</si>
  <si>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</si>
  <si>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</si>
  <si>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 xml:space="preserve">   Shareholders Equity &amp; Long Term Debt</t>
  </si>
  <si>
    <t>4.  Changed the basis for Franchise Tax from Book Asset Value to Shareholders Equity and Long Term Debt.  Patrick Maloy Memo</t>
  </si>
  <si>
    <t>Base Yr.</t>
  </si>
  <si>
    <t xml:space="preserve">   Start up fuel</t>
  </si>
  <si>
    <t xml:space="preserve">   Water Treatment</t>
  </si>
  <si>
    <t xml:space="preserve">   FERC Fee</t>
  </si>
  <si>
    <t xml:space="preserve">   Variable Maintenance</t>
  </si>
  <si>
    <t xml:space="preserve">   Total Variable O&amp;M</t>
  </si>
  <si>
    <t>Total Variable Expenses</t>
  </si>
  <si>
    <t>TOTAL EXPENSES</t>
  </si>
  <si>
    <t xml:space="preserve">   EI O&amp;M Mobilization</t>
  </si>
  <si>
    <t>5.  EI O&amp;M Mobilization.  Took out the 1st year expense and depreciated it in the 1st year.</t>
  </si>
  <si>
    <t>6.  Took out the proration of the Utilities - Start up power</t>
  </si>
  <si>
    <t>Fuel use per start (MMBtu/Turbine)</t>
  </si>
  <si>
    <t>Use Fed NOL Carryforward?</t>
  </si>
  <si>
    <t>Use State NOL Carryforward?</t>
  </si>
  <si>
    <t xml:space="preserve">   NOL Expired  (5 Year)</t>
  </si>
  <si>
    <t xml:space="preserve">   State Cash Taxes Payable/(Benefit)</t>
  </si>
  <si>
    <t xml:space="preserve">   New NOL's</t>
  </si>
  <si>
    <t xml:space="preserve">   Beginning NOL's</t>
  </si>
  <si>
    <t xml:space="preserve">   Ending NOL's</t>
  </si>
  <si>
    <t>Fuel</t>
  </si>
  <si>
    <t>Debt Service</t>
  </si>
  <si>
    <t xml:space="preserve">  Legal Expense</t>
  </si>
  <si>
    <t xml:space="preserve">   Debt Res + Land </t>
  </si>
  <si>
    <t>7.  Overall Insurance during operations decreased per Agatha's new estimates</t>
  </si>
  <si>
    <t xml:space="preserve">   Less: Gross Receipts Tax</t>
  </si>
  <si>
    <t xml:space="preserve">   Adjusted Pretax Book Income</t>
  </si>
  <si>
    <t xml:space="preserve">   State Taxable Income</t>
  </si>
  <si>
    <t xml:space="preserve">   Plus: Gross Receipts Tax Liability</t>
  </si>
  <si>
    <t xml:space="preserve">        Total State Taxes</t>
  </si>
  <si>
    <t xml:space="preserve">   Less: Federal Tax Depreciation</t>
  </si>
  <si>
    <t xml:space="preserve">   Less: State Taxes</t>
  </si>
  <si>
    <t xml:space="preserve">   Federal Tax Rate</t>
  </si>
  <si>
    <t xml:space="preserve">   Total Federal Cash Taxes Payable/(Benefit)</t>
  </si>
  <si>
    <t>8.  Changed the Order of the State Tax Calculation making Frachise and Gross Receipts Tax deductables to State Income Tax.</t>
  </si>
  <si>
    <t>9.  Changed the MACR Tables</t>
  </si>
  <si>
    <t>10.  Tax Calc for Federal was not deducting total State Taxes.  Excluded Franchise Tax.</t>
  </si>
  <si>
    <t>FIXED G&amp;A:</t>
  </si>
  <si>
    <t>OPERATING COST SUMMARY:</t>
  </si>
  <si>
    <t>Gas Pipeline Meteing Station</t>
  </si>
  <si>
    <t xml:space="preserve">   Gas Pipeline Metering Station</t>
  </si>
  <si>
    <t>11.  Added to Fixed G&amp;A 30k for Gas Pipeline Metering</t>
  </si>
  <si>
    <t>12.  New Drawdowns from Shelly May</t>
  </si>
  <si>
    <t>13.   Updated Major Maintenance Schedules for the OEC</t>
  </si>
  <si>
    <t>Total NPV</t>
  </si>
  <si>
    <t>Delta</t>
  </si>
  <si>
    <t>Current: Linked to the Model</t>
  </si>
  <si>
    <t>$/MWh</t>
  </si>
  <si>
    <t>1999 $000's</t>
  </si>
  <si>
    <t>14.   Made the year 20 a full year.  No more proration of the capacity and Fixed O&amp;M.</t>
  </si>
  <si>
    <t>WACC</t>
  </si>
  <si>
    <t>15.  Revised Operating Insurance increased the estimate.</t>
  </si>
  <si>
    <t xml:space="preserve">  Carrying Interest on Project Cost</t>
  </si>
  <si>
    <t>16.  Put in the new Drawdown and the actual IDC's for the first 2 months.</t>
  </si>
  <si>
    <t>Operating Taxes</t>
  </si>
  <si>
    <t xml:space="preserve">   Franchise Tax</t>
  </si>
  <si>
    <t>Paste Range for Franchise Tax Calc</t>
  </si>
  <si>
    <t>Stockholders Equity</t>
  </si>
  <si>
    <t>Note:  If this range is moved the MACRO will not paste into the correct range.</t>
  </si>
  <si>
    <t xml:space="preserve">   State Franchise Tax Liability (See Book Inc.)</t>
  </si>
  <si>
    <t xml:space="preserve">17.  Put the Franchise Tax Calculation into the Book Income </t>
  </si>
  <si>
    <t>Percentage Drawn</t>
  </si>
  <si>
    <t>Total Financed Through WestLB</t>
  </si>
  <si>
    <t>18.  Version #20 of Control Budget and a new Drawdown Schedule</t>
  </si>
  <si>
    <t>TRANCHE 1</t>
  </si>
  <si>
    <t>Beginning Prinipal</t>
  </si>
  <si>
    <t>Grace Period</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</si>
  <si>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</si>
  <si>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</si>
  <si>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</si>
  <si>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</si>
  <si>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</si>
  <si>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</si>
  <si>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</si>
  <si>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</si>
  <si>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</si>
  <si>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</si>
  <si>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Alternative</t>
  </si>
  <si>
    <t>Cumulative Changes</t>
  </si>
  <si>
    <t>Incremental Changes</t>
  </si>
  <si>
    <t>19.  Rolled EI Mob into Turnkey Deprec and Increased Book Income Deprec. To 30 years.</t>
  </si>
  <si>
    <t>20.  Changed Interest Income to be 5% of 25% of EBITDA</t>
  </si>
  <si>
    <t>Admin Fee</t>
  </si>
  <si>
    <t xml:space="preserve">   Admin Fee</t>
  </si>
  <si>
    <t xml:space="preserve">   O&amp;M Fee</t>
  </si>
  <si>
    <t>21.  Added a $1M Admin Fee which is prorated by MW among the projects</t>
  </si>
  <si>
    <t>22.  Changed the Site Capacity from 450 to 441.6</t>
  </si>
  <si>
    <t>Property Taxes</t>
  </si>
  <si>
    <t>Fixed</t>
  </si>
  <si>
    <t>23.  Changed the Fuel Price to Fixed at 2.5</t>
  </si>
  <si>
    <t>2000-2003  Ave.</t>
  </si>
  <si>
    <t>Other</t>
  </si>
  <si>
    <t xml:space="preserve">   Total Operating Taxes</t>
  </si>
  <si>
    <t>COST PER START:</t>
  </si>
  <si>
    <t>No of Starts (By 10's)</t>
  </si>
  <si>
    <t>Cost/Start/Turbine</t>
  </si>
  <si>
    <t>Cost/Start</t>
  </si>
  <si>
    <t>Start Up Fuel</t>
  </si>
  <si>
    <t>Annual Growth of Total Cost</t>
  </si>
  <si>
    <t xml:space="preserve">Sales &amp; Use Tax on Fuel </t>
  </si>
  <si>
    <t>Fuel Price</t>
  </si>
  <si>
    <t>Fuel /Start/Turbine</t>
  </si>
  <si>
    <t>Major Main</t>
  </si>
  <si>
    <t>Total/Start Cost</t>
  </si>
  <si>
    <t>Fuel %</t>
  </si>
  <si>
    <t>Main %</t>
  </si>
  <si>
    <t>NO. of Starts Per Yr.</t>
  </si>
  <si>
    <t>EXPENSES</t>
  </si>
  <si>
    <t>Per Start Expenses:</t>
  </si>
  <si>
    <t>Variable Expenses:</t>
  </si>
  <si>
    <t>Total Per Start Expenses</t>
  </si>
  <si>
    <t xml:space="preserve">    TOTAL VEP</t>
  </si>
  <si>
    <t>24.  Added a per start charge which causes maj main to be passeed through and reduced Capacity to 3.25</t>
  </si>
  <si>
    <t>25.   Revision #22 of Control Budget.  Took out the Debt Reserve.</t>
  </si>
  <si>
    <t xml:space="preserve">  Mobilization Fuel</t>
  </si>
  <si>
    <t>$/Yr. (000's)</t>
  </si>
  <si>
    <t xml:space="preserve">   Total  Operating Cost</t>
  </si>
  <si>
    <t>$/Start</t>
  </si>
  <si>
    <t>Fixed Expenses:</t>
  </si>
  <si>
    <t>Fixed G&amp;A:</t>
  </si>
  <si>
    <t xml:space="preserve">   Total Fixed G&amp;A</t>
  </si>
  <si>
    <t>FIXED OPERATING COSTS:</t>
  </si>
  <si>
    <t xml:space="preserve">   TOTAL FIXED OPERATING COSTS</t>
  </si>
  <si>
    <t>Variable Operating Costs</t>
  </si>
  <si>
    <t>Fixed Operating Costs</t>
  </si>
  <si>
    <t xml:space="preserve">   Total Fixed Expenses</t>
  </si>
  <si>
    <t xml:space="preserve">   Total Per Start Expenses</t>
  </si>
  <si>
    <t xml:space="preserve">   Total Variable Operating Costs</t>
  </si>
  <si>
    <t xml:space="preserve">   Total Fixed (incl  G&amp;A)</t>
  </si>
  <si>
    <t xml:space="preserve">   Total Property Tax</t>
  </si>
  <si>
    <t xml:space="preserve">   Start Up Expenses $/Kwmo</t>
  </si>
  <si>
    <t xml:space="preserve">   Variable Costs $/kWmo</t>
  </si>
  <si>
    <t xml:space="preserve">   Fixed Costs $/kWmo</t>
  </si>
  <si>
    <t xml:space="preserve">    Property Taxes</t>
  </si>
  <si>
    <t xml:space="preserve">    Operating Taxes $/KWEmo</t>
  </si>
  <si>
    <t xml:space="preserve">    Debt Service $/kWmo</t>
  </si>
  <si>
    <t xml:space="preserve">   Total Operating Costs $/kWmo</t>
  </si>
  <si>
    <t xml:space="preserve">   Total Op. Costs $/kWmo (excluding Debt Service)</t>
  </si>
  <si>
    <t xml:space="preserve">   Total Op Costs $/kWmo (including Debt Service)</t>
  </si>
  <si>
    <t xml:space="preserve">   Fixed Operating Costs (excluding Maj. Main.)</t>
  </si>
  <si>
    <t xml:space="preserve">   Fixed Op. Cost (Incl. G&amp;A) $/MWh</t>
  </si>
  <si>
    <t xml:space="preserve">   Total Operating Costs $/MWh</t>
  </si>
  <si>
    <t>Property Taxes ('01 Disc.)</t>
  </si>
  <si>
    <t>Operation Taxes ('01 Disc.)</t>
  </si>
  <si>
    <t>OEC #'s per 1200 hrs</t>
  </si>
  <si>
    <t>MW'hrs</t>
  </si>
  <si>
    <t>VARIABLE PAYMENTS:</t>
  </si>
  <si>
    <t>Variable Energy Payment</t>
  </si>
  <si>
    <t>$/ MW h</t>
  </si>
  <si>
    <t>Start Up Payment</t>
  </si>
  <si>
    <t>$/Start/ Turbine</t>
  </si>
  <si>
    <t>VARIABLE OPERATING COSTS:</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</si>
  <si>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</si>
  <si>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</si>
  <si>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</si>
  <si>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</si>
  <si>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</si>
  <si>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</si>
  <si>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</si>
  <si>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</si>
  <si>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</si>
  <si>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</si>
  <si>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</si>
  <si>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</si>
  <si>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</si>
  <si>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</si>
  <si>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</si>
  <si>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</si>
  <si>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</si>
  <si>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</si>
  <si>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O&amp;M Fee</t>
  </si>
  <si>
    <t>Start Payment/Turbine</t>
  </si>
  <si>
    <t>26.   Added the Final Report ICF Capacity Curve</t>
  </si>
  <si>
    <t>27.  Changed the MMBTU/start/Turbine as per the latest Azim estimates</t>
  </si>
  <si>
    <t>28.  Reduced estimated run hours back to 1200 hours</t>
  </si>
  <si>
    <t>Start Up MMBTU's</t>
  </si>
  <si>
    <t>29.  Capacity confirmed at 442 MW up from 441.6</t>
  </si>
  <si>
    <t>30.  Capacity price on PPA to $4.00 from 3.25</t>
  </si>
  <si>
    <t>Utility: Start Up Power</t>
  </si>
  <si>
    <t>31.  Version # 23 of the Control Budget</t>
  </si>
  <si>
    <t>32.  Moved Start Date to July 1st from June</t>
  </si>
  <si>
    <t>Degraded Capacity</t>
  </si>
  <si>
    <t>On Merchant Hours Only</t>
  </si>
  <si>
    <t>33.  Added a Degradation Factor of 2% to the Merchant Capacity Payment</t>
  </si>
  <si>
    <t>Marketing Fee (Merchant Only)</t>
  </si>
  <si>
    <t>$/kw-mo</t>
  </si>
  <si>
    <t xml:space="preserve">   Marketing Fee</t>
  </si>
  <si>
    <t>34.  Added a Marketing Fee of .07 / kw-mo</t>
  </si>
  <si>
    <t>Kaiser TVA Base $/kw-year (in 1998 real $)</t>
  </si>
  <si>
    <t>Kaiser TVA Low $/kw-year (in 1998 real $)</t>
  </si>
  <si>
    <t>Kaiser Peak as of 1998 ( $ / MWh )</t>
  </si>
  <si>
    <t>Kaiser Off Peak as of 1998 ( $ / MWh )</t>
  </si>
  <si>
    <t>35.  Revised the Start Up Fuel MMBTU's per Turbine and Entered the new Kaiser Curve.</t>
  </si>
  <si>
    <t>36.  Control Budget # 25</t>
  </si>
  <si>
    <t>Only</t>
  </si>
  <si>
    <t>Net Project MW - Site w/ Evap Cooling</t>
  </si>
  <si>
    <t>On</t>
  </si>
  <si>
    <t>37.  Added in the additional MW from Evap Cooling investment in 2000</t>
  </si>
  <si>
    <t>38.  Adjusted the Heat Rate to reflect the latest assumptions.</t>
  </si>
  <si>
    <t>39.  Moved the Start Date to Aug. so only 5 months in 1st year.</t>
  </si>
  <si>
    <t xml:space="preserve">  Additional Capital Expenditures</t>
  </si>
  <si>
    <t>40.  Added a $500k per turbine CAPEX to year 2000 for the EVAP Coolers</t>
  </si>
  <si>
    <t xml:space="preserve">   Evap Coolers</t>
  </si>
  <si>
    <t xml:space="preserve">  Block Payment</t>
  </si>
  <si>
    <t>41.  Changed the Block Payment to only include 1/3 of the Maj. Main. As the Kaiser curve has incorporated 2/3's</t>
  </si>
  <si>
    <t>Yrs.</t>
  </si>
  <si>
    <t>End Month</t>
  </si>
  <si>
    <t>42.  Ran the additional MW from Evap Coolers through the Demand Charge.</t>
  </si>
  <si>
    <t>Energy Margin</t>
  </si>
  <si>
    <t>Capacity Factor</t>
  </si>
  <si>
    <t xml:space="preserve">   Peak Capacity Sales Rate (MW)</t>
  </si>
  <si>
    <t xml:space="preserve">   Peak Energy Sales (MW)</t>
  </si>
  <si>
    <t xml:space="preserve">   Energy Margin</t>
  </si>
  <si>
    <t>43.  Incorporated the Energy Margin on 2% of MW's.</t>
  </si>
  <si>
    <t>Consolidated Check</t>
  </si>
  <si>
    <t>EGC EITDA</t>
  </si>
  <si>
    <t>Plus : L/C</t>
  </si>
  <si>
    <t>Less:  Interest</t>
  </si>
  <si>
    <t xml:space="preserve">    Difference</t>
  </si>
  <si>
    <t>Caladonia</t>
  </si>
  <si>
    <t>Merchant Plant Output Summary</t>
  </si>
  <si>
    <t>PPA Plant Output Summary</t>
  </si>
  <si>
    <t>44.  Control Budget Version #26</t>
  </si>
  <si>
    <t>45.  End of Commercial Op is 5/19 as in the PPA's</t>
  </si>
  <si>
    <t>46.  Control Budget Version # 27</t>
  </si>
  <si>
    <t>47.  Changed the escalation on the Marketing Fee so that the base year is 2003</t>
  </si>
  <si>
    <t>48.  Control Budget Version # 28</t>
  </si>
  <si>
    <t>49.  Control Budget Version # 29</t>
  </si>
  <si>
    <t>50.  The Major Maintenance in the Block Payment was prorated for the last partial year while the cost was not.</t>
  </si>
  <si>
    <t>51.  Added back in the Start Up Fuel Cost</t>
  </si>
  <si>
    <t>52.  Control Budget Version # 30</t>
  </si>
  <si>
    <t>Alternate</t>
  </si>
  <si>
    <t>53.  Changed the Financing to the CSFB terms</t>
  </si>
  <si>
    <t>54.  Made the last year, 2019, a full year as per the latest PPA</t>
  </si>
  <si>
    <t>55.  Control Budget Revision # 33</t>
  </si>
  <si>
    <t>56.  Zeroed out the Franchise tax</t>
  </si>
  <si>
    <t>57.  Control Budget revision # 36</t>
  </si>
  <si>
    <t>ISO Capacity Rating</t>
  </si>
  <si>
    <t>63.  The market based capacity drives off of the ISO numbers to stay constant with the Kaiser assumptions</t>
  </si>
  <si>
    <t>64.  Control Budget Version # 39</t>
  </si>
  <si>
    <t>Estimated Cost Schedule for 120 Starts</t>
  </si>
  <si>
    <t>o</t>
  </si>
  <si>
    <t>Start Up Fuel (MMBTU/Turbine)</t>
  </si>
  <si>
    <t>65.  Control Budget Version # 40: ABB &amp; Development #'s Changed</t>
  </si>
  <si>
    <t xml:space="preserve">66.  Control Budget Version # 41: </t>
  </si>
  <si>
    <t>67.  Changes made to EE&amp;CC, NEPCO and IDC Credit</t>
  </si>
  <si>
    <t>67.  Changes made to Mobilization of O&amp;M, Start-up Fuel, &amp; IDC</t>
  </si>
  <si>
    <t>67.  Changes made to NEPCO, Development, &amp; Legal</t>
  </si>
  <si>
    <t>68 Changes made to ABB</t>
  </si>
  <si>
    <t>68 No changes made to model</t>
  </si>
  <si>
    <t>69 No changes made to model</t>
  </si>
  <si>
    <t>70 Changes made to Legal expenses and NEPCO expenses</t>
  </si>
  <si>
    <t>71. Changes made to legal, Development, NEPCO, &amp; Mobilization of Fuel</t>
  </si>
  <si>
    <t>72. Changes made to legal, Development, NEPCO, &amp; Mobilization of Fuel</t>
  </si>
  <si>
    <t>73. Changes made to legal, Development, NEPCO, &amp; Mobilization of Fuel</t>
  </si>
  <si>
    <t>75. Changes made to mobilization of fuel, development, anf financing fee.</t>
  </si>
  <si>
    <t>74. Changes made to legal, Development, NEPCO, &amp; Mobilization of Fuel</t>
  </si>
  <si>
    <t>76. Changes made to mobilization of fuel, development, anf financing fee.</t>
  </si>
  <si>
    <t>76. Changes made to mobilization of fuel, development, financing fee and legal expenses</t>
  </si>
  <si>
    <t>76. Changes made to spare parts and legal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</si>
</sst>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86">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56">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b/>
      <sz val="8"/>
      <name val="Arial"/>
    </font>
    <font>
      <u val="singleAccounting"/>
      <sz val="8"/>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b/>
      <sz val="10"/>
      <name val="Arial"/>
      <family val="2"/>
    </font>
    <font>
      <sz val="9"/>
      <name val="Arial"/>
      <family val="2"/>
    </font>
    <font>
      <sz val="9"/>
      <color indexed="12"/>
      <name val="Arial"/>
      <family val="2"/>
    </font>
    <font>
      <sz val="9"/>
      <color indexed="8"/>
      <name val="Arial"/>
      <family val="2"/>
    </font>
    <font>
      <b/>
      <u/>
      <sz val="8"/>
      <name val="Arial"/>
      <family val="2"/>
    </font>
    <font>
      <u val="doubleAccounting"/>
      <sz val="8"/>
      <name val="Arial"/>
    </font>
    <font>
      <u val="singleAccounting"/>
      <sz val="8"/>
      <name val="Arial"/>
    </font>
    <font>
      <sz val="10"/>
      <name val="Times New Roman"/>
    </font>
    <font>
      <b/>
      <i/>
      <sz val="8"/>
      <color indexed="8"/>
      <name val="P-TIMES"/>
    </font>
    <font>
      <sz val="8"/>
      <color indexed="8"/>
      <name val="P-TIMES"/>
    </font>
    <font>
      <sz val="8"/>
      <color indexed="8"/>
      <name val="Arial MT"/>
    </font>
    <font>
      <b/>
      <sz val="8"/>
      <color indexed="8"/>
      <name val="Arial MT"/>
    </font>
    <font>
      <b/>
      <sz val="8"/>
      <color indexed="8"/>
      <name val="P-TIMES"/>
    </font>
    <font>
      <sz val="8"/>
      <color indexed="12"/>
      <name val="P-TIMES"/>
    </font>
    <font>
      <sz val="9"/>
      <color indexed="12"/>
      <name val="Arial"/>
    </font>
    <font>
      <b/>
      <sz val="8"/>
      <color indexed="81"/>
      <name val="Tahoma"/>
    </font>
    <font>
      <sz val="9"/>
      <name val="Arial"/>
    </font>
    <font>
      <b/>
      <sz val="16"/>
      <name val="Arial"/>
    </font>
    <font>
      <u/>
      <sz val="8"/>
      <name val="Arial"/>
    </font>
    <font>
      <sz val="10"/>
      <color indexed="8"/>
      <name val="Arial"/>
      <family val="2"/>
    </font>
    <font>
      <sz val="12"/>
      <name val="Helv"/>
    </font>
    <font>
      <sz val="8"/>
      <color indexed="12"/>
      <name val="Arial"/>
    </font>
    <font>
      <b/>
      <sz val="10"/>
      <color indexed="12"/>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b/>
      <sz val="12"/>
      <color indexed="81"/>
      <name val="Tahoma"/>
      <family val="2"/>
    </font>
    <font>
      <sz val="12"/>
      <color indexed="81"/>
      <name val="Tahoma"/>
      <family val="2"/>
    </font>
    <font>
      <b/>
      <sz val="10"/>
      <color indexed="81"/>
      <name val="Tahoma"/>
      <family val="2"/>
    </font>
    <font>
      <sz val="10"/>
      <color indexed="81"/>
      <name val="Tahoma"/>
      <family val="2"/>
    </font>
    <font>
      <b/>
      <sz val="8"/>
      <color indexed="81"/>
      <name val="Tahoma"/>
      <family val="2"/>
    </font>
    <font>
      <b/>
      <sz val="8"/>
      <color indexed="12"/>
      <name val="P-TIMES"/>
    </font>
    <font>
      <b/>
      <u/>
      <sz val="9"/>
      <name val="Arial"/>
    </font>
    <font>
      <b/>
      <u/>
      <sz val="15"/>
      <color indexed="10"/>
      <name val="Times New Roman"/>
      <family val="1"/>
    </font>
    <font>
      <b/>
      <sz val="8"/>
      <color indexed="17"/>
      <name val="Times New Roman"/>
      <family val="1"/>
    </font>
    <font>
      <b/>
      <sz val="8"/>
      <name val="Times New Roman"/>
      <family val="1"/>
    </font>
    <font>
      <b/>
      <sz val="10"/>
      <name val="Times New Roman"/>
      <family val="1"/>
    </font>
    <font>
      <b/>
      <sz val="10"/>
      <color indexed="12"/>
      <name val="Times New Roman"/>
      <family val="1"/>
    </font>
    <font>
      <b/>
      <sz val="16"/>
      <name val="Times New Roman"/>
      <family val="1"/>
    </font>
    <font>
      <b/>
      <u/>
      <sz val="8"/>
      <name val="Times New Roman"/>
      <family val="1"/>
    </font>
    <font>
      <u/>
      <sz val="10"/>
      <name val="Times New Roman"/>
      <family val="1"/>
    </font>
    <font>
      <i/>
      <sz val="8"/>
      <name val="Times New Roman"/>
      <family val="1"/>
    </font>
    <font>
      <b/>
      <sz val="8"/>
      <color indexed="8"/>
      <name val="Times New Roman"/>
      <family val="1"/>
    </font>
    <font>
      <u/>
      <sz val="8"/>
      <name val="Times New Roman"/>
      <family val="1"/>
    </font>
    <font>
      <sz val="8"/>
      <color indexed="12"/>
      <name val="Times New Roman"/>
      <family val="1"/>
    </font>
    <font>
      <u val="singleAccounting"/>
      <sz val="8"/>
      <name val="Times New Roman"/>
      <family val="1"/>
    </font>
    <font>
      <b/>
      <u/>
      <sz val="10"/>
      <name val="Times New Roman"/>
      <family val="1"/>
    </font>
    <font>
      <sz val="11"/>
      <name val="Times New Roman"/>
      <family val="1"/>
    </font>
    <font>
      <sz val="9"/>
      <name val="Times New Roman"/>
      <family val="1"/>
    </font>
    <font>
      <sz val="9"/>
      <color indexed="12"/>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name val="Times New Roman"/>
      <family val="1"/>
    </font>
    <font>
      <b/>
      <sz val="9"/>
      <color indexed="8"/>
      <name val="Times New Roman"/>
      <family val="1"/>
    </font>
    <font>
      <b/>
      <sz val="9"/>
      <name val="Times New Roman"/>
      <family val="1"/>
    </font>
    <font>
      <i/>
      <sz val="9"/>
      <name val="Times New Roman"/>
      <family val="1"/>
    </font>
    <font>
      <u/>
      <sz val="9"/>
      <color indexed="9"/>
      <name val="Times New Roman"/>
      <family val="1"/>
    </font>
    <font>
      <u/>
      <sz val="9"/>
      <color indexed="8"/>
      <name val="Times New Roman"/>
      <family val="1"/>
    </font>
    <font>
      <u/>
      <sz val="9"/>
      <color indexed="12"/>
      <name val="Times New Roman"/>
      <family val="1"/>
    </font>
    <font>
      <u val="singleAccounting"/>
      <sz val="9"/>
      <color indexed="12"/>
      <name val="Times New Roman"/>
      <family val="1"/>
    </font>
    <font>
      <sz val="9"/>
      <color indexed="56"/>
      <name val="Times New Roman"/>
      <family val="1"/>
    </font>
    <font>
      <b/>
      <u/>
      <sz val="9"/>
      <name val="Times New Roman"/>
      <family val="1"/>
    </font>
    <font>
      <sz val="9"/>
      <color indexed="10"/>
      <name val="Times New Roman"/>
      <family val="1"/>
    </font>
    <font>
      <u val="singleAccounting"/>
      <sz val="9"/>
      <name val="Times New Roman"/>
      <family val="1"/>
    </font>
    <font>
      <b/>
      <sz val="9"/>
      <color indexed="12"/>
      <name val="Times New Roman"/>
      <family val="1"/>
    </font>
    <font>
      <b/>
      <sz val="12"/>
      <name val="Times New Roman"/>
      <family val="1"/>
    </font>
    <font>
      <u val="doubleAccounting"/>
      <sz val="8"/>
      <name val="Times New Roman"/>
      <family val="1"/>
    </font>
    <font>
      <b/>
      <i/>
      <u/>
      <sz val="8"/>
      <name val="Times New Roman"/>
      <family val="1"/>
    </font>
    <font>
      <sz val="8"/>
      <color indexed="9"/>
      <name val="Times New Roman"/>
      <family val="1"/>
    </font>
    <font>
      <b/>
      <sz val="8"/>
      <color indexed="12"/>
      <name val="Times New Roman"/>
      <family val="1"/>
    </font>
    <font>
      <sz val="8"/>
      <color indexed="16"/>
      <name val="Times New Roman"/>
      <family val="1"/>
    </font>
    <font>
      <u val="singleAccounting"/>
      <sz val="10"/>
      <name val="Times New Roman"/>
      <family val="1"/>
    </font>
    <font>
      <sz val="10"/>
      <color indexed="12"/>
      <name val="Times New Roman"/>
      <family val="1"/>
    </font>
    <font>
      <b/>
      <sz val="12"/>
      <color indexed="10"/>
      <name val="Times New Roman"/>
      <family val="1"/>
    </font>
    <font>
      <sz val="8"/>
      <color indexed="10"/>
      <name val="Times New Roman"/>
      <family val="1"/>
    </font>
    <font>
      <sz val="8"/>
      <color indexed="8"/>
      <name val="Times New Roman"/>
      <family val="1"/>
    </font>
    <font>
      <u val="singleAccounting"/>
      <sz val="8"/>
      <color indexed="12"/>
      <name val="Times New Roman"/>
      <family val="1"/>
    </font>
    <font>
      <i/>
      <u/>
      <sz val="8"/>
      <name val="Times New Roman"/>
      <family val="1"/>
    </font>
    <font>
      <b/>
      <u/>
      <sz val="12"/>
      <color indexed="8"/>
      <name val="Times New Roman"/>
      <family val="1"/>
    </font>
    <font>
      <b/>
      <u/>
      <sz val="9"/>
      <color indexed="12"/>
      <name val="Times New Roman"/>
      <family val="1"/>
    </font>
    <font>
      <sz val="10"/>
      <color indexed="10"/>
      <name val="Times New Roman"/>
      <family val="1"/>
    </font>
    <font>
      <b/>
      <sz val="8"/>
      <color indexed="10"/>
      <name val="P-TIMES"/>
    </font>
    <font>
      <u/>
      <sz val="10"/>
      <color indexed="8"/>
      <name val="Arial"/>
      <family val="2"/>
    </font>
    <font>
      <sz val="10"/>
      <color indexed="12"/>
      <name val="Arial"/>
    </font>
    <font>
      <sz val="16"/>
      <name val="Times New Roman"/>
      <family val="1"/>
    </font>
    <font>
      <u/>
      <sz val="10"/>
      <color indexed="8"/>
      <name val="Times New Roman"/>
      <family val="1"/>
    </font>
    <font>
      <sz val="10"/>
      <color indexed="8"/>
      <name val="Times New Roman"/>
      <family val="1"/>
    </font>
    <font>
      <b/>
      <u val="singleAccounting"/>
      <sz val="8"/>
      <name val="Times New Roman"/>
      <family val="1"/>
    </font>
    <font>
      <b/>
      <u/>
      <sz val="10"/>
      <name val="Arial"/>
      <family val="2"/>
    </font>
    <font>
      <u/>
      <sz val="10"/>
      <name val="Arial"/>
    </font>
    <font>
      <b/>
      <u val="singleAccounting"/>
      <sz val="9"/>
      <color indexed="12"/>
      <name val="Times New Roman"/>
      <family val="1"/>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6"/>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indexed="64"/>
      </top>
      <bottom style="medium">
        <color indexed="64"/>
      </bottom>
      <diagonal/>
    </border>
  </borders>
  <cellStyleXfs count="36">
    <xf numFmtId="0" fontId="0" fillId="0" borderId="0"/>
    <xf numFmtId="0" fontId="40"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43"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49" fillId="0" borderId="0" applyNumberFormat="0" applyFill="0" applyBorder="0" applyAlignment="0" applyProtection="0"/>
    <xf numFmtId="14" fontId="2" fillId="0" borderId="0">
      <protection locked="0"/>
    </xf>
    <xf numFmtId="14" fontId="2" fillId="0" borderId="0">
      <protection locked="0"/>
    </xf>
    <xf numFmtId="0" fontId="13" fillId="0" borderId="2" applyNumberFormat="0" applyFill="0" applyAlignment="0" applyProtection="0"/>
    <xf numFmtId="0" fontId="15" fillId="0" borderId="0" applyNumberFormat="0" applyFill="0" applyBorder="0" applyAlignment="0" applyProtection="0">
      <alignment vertical="top"/>
      <protection locked="0"/>
    </xf>
    <xf numFmtId="10" fontId="7" fillId="5" borderId="3" applyNumberFormat="0" applyBorder="0" applyAlignment="0" applyProtection="0"/>
    <xf numFmtId="37" fontId="51" fillId="0" borderId="0"/>
    <xf numFmtId="170" fontId="52"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179">
    <xf numFmtId="0" fontId="0" fillId="0" borderId="0" xfId="0"/>
    <xf numFmtId="37" fontId="5" fillId="0" borderId="0" xfId="22" applyAlignment="1"/>
    <xf numFmtId="37" fontId="5" fillId="0" borderId="0" xfId="22" applyAlignment="1">
      <alignment horizontal="right"/>
    </xf>
    <xf numFmtId="37" fontId="5" fillId="0" borderId="0" xfId="22" applyFont="1" applyAlignment="1"/>
    <xf numFmtId="37" fontId="5" fillId="0" borderId="0" xfId="22" applyFill="1" applyAlignment="1"/>
    <xf numFmtId="41" fontId="7" fillId="0" borderId="0" xfId="6" applyNumberFormat="1" applyFont="1" applyFill="1"/>
    <xf numFmtId="41" fontId="10" fillId="0" borderId="0" xfId="6" applyNumberFormat="1" applyFont="1" applyFill="1"/>
    <xf numFmtId="37" fontId="5" fillId="0" borderId="0" xfId="22" applyFont="1" applyFill="1" applyAlignment="1"/>
    <xf numFmtId="251" fontId="7" fillId="0" borderId="0" xfId="6" applyNumberFormat="1" applyFont="1" applyFill="1"/>
    <xf numFmtId="39" fontId="5" fillId="0" borderId="0" xfId="22" applyNumberFormat="1" applyAlignment="1"/>
    <xf numFmtId="15" fontId="7" fillId="0" borderId="0" xfId="6" applyNumberFormat="1" applyFont="1" applyFill="1"/>
    <xf numFmtId="206" fontId="7" fillId="0" borderId="0" xfId="6" applyNumberFormat="1" applyFont="1" applyFill="1"/>
    <xf numFmtId="43" fontId="0" fillId="0" borderId="0" xfId="0" applyNumberFormat="1"/>
    <xf numFmtId="0" fontId="1" fillId="0" borderId="0" xfId="0" applyFon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7" fillId="0" borderId="0" xfId="0" applyFont="1"/>
    <xf numFmtId="37" fontId="7" fillId="0" borderId="0" xfId="22" applyFont="1" applyAlignment="1"/>
    <xf numFmtId="37" fontId="7" fillId="0" borderId="0" xfId="22" applyFont="1" applyFill="1" applyAlignment="1"/>
    <xf numFmtId="206" fontId="17" fillId="0" borderId="0" xfId="3" applyNumberFormat="1" applyFont="1"/>
    <xf numFmtId="167" fontId="11"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20" fillId="0" borderId="0" xfId="0" applyNumberFormat="1" applyFont="1" applyProtection="1"/>
    <xf numFmtId="0" fontId="19" fillId="0" borderId="0" xfId="0" applyFont="1"/>
    <xf numFmtId="42" fontId="7" fillId="0" borderId="0" xfId="6" applyNumberFormat="1" applyFont="1" applyFill="1"/>
    <xf numFmtId="42" fontId="21" fillId="0" borderId="0" xfId="6" applyNumberFormat="1" applyFont="1" applyFill="1"/>
    <xf numFmtId="1" fontId="7" fillId="0" borderId="0" xfId="0" applyNumberFormat="1" applyFont="1" applyBorder="1"/>
    <xf numFmtId="206" fontId="7" fillId="0" borderId="0" xfId="0" applyNumberFormat="1" applyFont="1"/>
    <xf numFmtId="0" fontId="24" fillId="0" borderId="0" xfId="23" applyFont="1"/>
    <xf numFmtId="0" fontId="24" fillId="0" borderId="0" xfId="23" applyFont="1" applyAlignment="1">
      <alignment horizontal="center"/>
    </xf>
    <xf numFmtId="0" fontId="25" fillId="0" borderId="0" xfId="23" applyFont="1"/>
    <xf numFmtId="0" fontId="26" fillId="0" borderId="0" xfId="23" applyFont="1"/>
    <xf numFmtId="0" fontId="1" fillId="0" borderId="0" xfId="0" applyFont="1" applyBorder="1"/>
    <xf numFmtId="0" fontId="27" fillId="0" borderId="0" xfId="23" applyFont="1" applyBorder="1"/>
    <xf numFmtId="0" fontId="24" fillId="0" borderId="0" xfId="23" applyFont="1" applyBorder="1"/>
    <xf numFmtId="0" fontId="28" fillId="0" borderId="0" xfId="23" applyFont="1" applyAlignment="1">
      <alignment horizontal="center"/>
    </xf>
    <xf numFmtId="0" fontId="28" fillId="0" borderId="6" xfId="23" applyFont="1" applyBorder="1"/>
    <xf numFmtId="0" fontId="26" fillId="0" borderId="7" xfId="23" applyFont="1" applyBorder="1"/>
    <xf numFmtId="0" fontId="28" fillId="0" borderId="8" xfId="23" applyFont="1" applyBorder="1"/>
    <xf numFmtId="0" fontId="26" fillId="0" borderId="0" xfId="23" applyFont="1" applyBorder="1"/>
    <xf numFmtId="10" fontId="28" fillId="0" borderId="9" xfId="23" applyNumberFormat="1" applyFont="1" applyBorder="1"/>
    <xf numFmtId="6" fontId="28" fillId="0" borderId="0" xfId="7" applyNumberFormat="1" applyFont="1" applyBorder="1" applyProtection="1"/>
    <xf numFmtId="0" fontId="28" fillId="0" borderId="0" xfId="23" applyFont="1"/>
    <xf numFmtId="0" fontId="26" fillId="0" borderId="8" xfId="23" applyFont="1" applyBorder="1"/>
    <xf numFmtId="0" fontId="26" fillId="0" borderId="9" xfId="23" applyFont="1" applyBorder="1"/>
    <xf numFmtId="6" fontId="28" fillId="0" borderId="0" xfId="23" applyNumberFormat="1" applyFont="1"/>
    <xf numFmtId="37" fontId="28" fillId="0" borderId="9" xfId="23" applyNumberFormat="1" applyFont="1" applyFill="1" applyBorder="1"/>
    <xf numFmtId="0" fontId="25" fillId="0" borderId="10" xfId="23" applyFont="1" applyBorder="1"/>
    <xf numFmtId="0" fontId="26" fillId="0" borderId="4" xfId="23" applyFont="1" applyBorder="1"/>
    <xf numFmtId="0" fontId="28" fillId="0" borderId="11" xfId="23" applyFont="1" applyBorder="1"/>
    <xf numFmtId="0" fontId="28" fillId="0" borderId="12" xfId="23" applyFont="1" applyBorder="1"/>
    <xf numFmtId="0" fontId="26" fillId="0" borderId="13" xfId="23" applyFont="1" applyBorder="1"/>
    <xf numFmtId="5" fontId="28" fillId="0" borderId="14" xfId="23" applyNumberFormat="1" applyFont="1" applyBorder="1"/>
    <xf numFmtId="0" fontId="28" fillId="0" borderId="0" xfId="23" applyFont="1" applyBorder="1"/>
    <xf numFmtId="5" fontId="28" fillId="0" borderId="0" xfId="23" applyNumberFormat="1" applyFont="1" applyBorder="1"/>
    <xf numFmtId="0" fontId="25" fillId="0" borderId="0" xfId="23" applyFont="1" applyBorder="1"/>
    <xf numFmtId="171" fontId="25" fillId="0" borderId="0" xfId="23" applyNumberFormat="1" applyFont="1" applyBorder="1"/>
    <xf numFmtId="171" fontId="29" fillId="0" borderId="0" xfId="23" applyNumberFormat="1" applyFont="1" applyBorder="1"/>
    <xf numFmtId="5" fontId="25" fillId="0" borderId="0" xfId="23" applyNumberFormat="1" applyFont="1"/>
    <xf numFmtId="0" fontId="30" fillId="0" borderId="0" xfId="0" applyFont="1" applyAlignment="1">
      <alignment horizontal="right"/>
    </xf>
    <xf numFmtId="5" fontId="25" fillId="0" borderId="0" xfId="23" applyNumberFormat="1" applyFont="1" applyBorder="1"/>
    <xf numFmtId="10" fontId="26" fillId="0" borderId="0" xfId="23" applyNumberFormat="1" applyFont="1"/>
    <xf numFmtId="173" fontId="26" fillId="0" borderId="0" xfId="23" applyNumberFormat="1" applyFont="1"/>
    <xf numFmtId="0" fontId="28" fillId="0" borderId="9" xfId="23" applyFont="1" applyBorder="1"/>
    <xf numFmtId="0" fontId="25" fillId="0" borderId="9" xfId="23" applyFont="1" applyBorder="1"/>
    <xf numFmtId="5" fontId="25" fillId="0" borderId="9" xfId="23" applyNumberFormat="1" applyFont="1" applyBorder="1"/>
    <xf numFmtId="5" fontId="25" fillId="0" borderId="11" xfId="23" applyNumberFormat="1" applyFont="1" applyBorder="1"/>
    <xf numFmtId="0" fontId="26" fillId="0" borderId="15" xfId="23" applyFont="1" applyBorder="1"/>
    <xf numFmtId="0" fontId="25" fillId="0" borderId="15" xfId="23" applyFont="1" applyBorder="1" applyAlignment="1">
      <alignment horizontal="center"/>
    </xf>
    <xf numFmtId="0" fontId="25" fillId="0" borderId="16" xfId="23" applyFont="1" applyBorder="1" applyAlignment="1">
      <alignment horizontal="center"/>
    </xf>
    <xf numFmtId="0" fontId="28" fillId="0" borderId="15" xfId="23" applyFont="1" applyBorder="1"/>
    <xf numFmtId="0" fontId="25" fillId="0" borderId="15" xfId="23" applyFont="1" applyBorder="1"/>
    <xf numFmtId="5" fontId="25" fillId="0" borderId="15" xfId="23" applyNumberFormat="1" applyFont="1" applyBorder="1"/>
    <xf numFmtId="5" fontId="25" fillId="0" borderId="16" xfId="23" applyNumberFormat="1" applyFont="1" applyBorder="1"/>
    <xf numFmtId="0" fontId="28" fillId="0" borderId="3" xfId="23" applyFont="1" applyBorder="1" applyAlignment="1">
      <alignment horizontal="center"/>
    </xf>
    <xf numFmtId="0" fontId="28" fillId="0" borderId="17" xfId="23" applyFont="1" applyBorder="1" applyAlignment="1">
      <alignment horizontal="center"/>
    </xf>
    <xf numFmtId="41" fontId="22" fillId="0" borderId="0" xfId="6" applyNumberFormat="1" applyFont="1" applyFill="1"/>
    <xf numFmtId="203" fontId="7" fillId="0" borderId="0" xfId="5" applyNumberFormat="1" applyFont="1" applyFill="1"/>
    <xf numFmtId="37" fontId="34" fillId="0" borderId="0" xfId="22" applyFont="1" applyFill="1" applyAlignment="1"/>
    <xf numFmtId="206" fontId="16" fillId="0" borderId="0" xfId="3" applyNumberFormat="1" applyFont="1"/>
    <xf numFmtId="10" fontId="7" fillId="0" borderId="0" xfId="24" applyNumberFormat="1" applyFont="1" applyProtection="1"/>
    <xf numFmtId="0" fontId="5" fillId="0" borderId="0" xfId="0" applyFont="1"/>
    <xf numFmtId="206" fontId="22" fillId="0" borderId="0" xfId="3" applyNumberFormat="1" applyFont="1" applyProtection="1"/>
    <xf numFmtId="203" fontId="5" fillId="0" borderId="0" xfId="5" applyNumberFormat="1" applyFont="1" applyProtection="1"/>
    <xf numFmtId="0" fontId="5" fillId="0" borderId="0" xfId="0" applyFont="1" applyBorder="1"/>
    <xf numFmtId="0" fontId="9" fillId="0" borderId="0" xfId="0" applyFont="1" applyBorder="1"/>
    <xf numFmtId="0" fontId="32" fillId="0" borderId="0" xfId="0" applyFont="1"/>
    <xf numFmtId="171" fontId="37" fillId="8" borderId="0" xfId="24" applyNumberFormat="1" applyFont="1" applyFill="1"/>
    <xf numFmtId="41" fontId="5" fillId="0" borderId="0" xfId="6" applyNumberFormat="1" applyFont="1" applyFill="1"/>
    <xf numFmtId="203" fontId="5" fillId="0" borderId="0" xfId="5" applyNumberFormat="1" applyFont="1" applyFill="1"/>
    <xf numFmtId="38" fontId="5" fillId="0" borderId="0" xfId="0" applyNumberFormat="1" applyFont="1"/>
    <xf numFmtId="9" fontId="5" fillId="0" borderId="0" xfId="24" applyFont="1"/>
    <xf numFmtId="38" fontId="37" fillId="0" borderId="0" xfId="0" applyNumberFormat="1" applyFont="1"/>
    <xf numFmtId="171" fontId="5" fillId="0" borderId="0" xfId="24" applyNumberFormat="1" applyFont="1"/>
    <xf numFmtId="8" fontId="37" fillId="0" borderId="0" xfId="6" applyFont="1" applyFill="1"/>
    <xf numFmtId="10" fontId="5" fillId="0" borderId="0" xfId="24" applyNumberFormat="1" applyFont="1" applyFill="1"/>
    <xf numFmtId="205" fontId="8" fillId="0" borderId="0" xfId="3" applyNumberFormat="1" applyFont="1" applyFill="1"/>
    <xf numFmtId="203" fontId="22" fillId="0" borderId="0" xfId="5" applyNumberFormat="1" applyFont="1" applyFill="1"/>
    <xf numFmtId="203" fontId="5" fillId="0" borderId="0" xfId="5" applyNumberFormat="1" applyFont="1"/>
    <xf numFmtId="0" fontId="5" fillId="0" borderId="0" xfId="0" applyFont="1" applyFill="1"/>
    <xf numFmtId="171" fontId="34" fillId="0" borderId="0" xfId="24" applyNumberFormat="1" applyFont="1"/>
    <xf numFmtId="203" fontId="10" fillId="0" borderId="0" xfId="5" applyNumberFormat="1" applyFont="1" applyFill="1"/>
    <xf numFmtId="43" fontId="38" fillId="0" borderId="0" xfId="3" applyFont="1"/>
    <xf numFmtId="0" fontId="14" fillId="0" borderId="0" xfId="0" applyFont="1" applyFill="1"/>
    <xf numFmtId="0" fontId="14" fillId="0" borderId="0" xfId="0" applyFont="1"/>
    <xf numFmtId="43" fontId="14" fillId="0" borderId="0" xfId="0" applyNumberFormat="1" applyFont="1"/>
    <xf numFmtId="206" fontId="14" fillId="0" borderId="0" xfId="0" applyNumberFormat="1" applyFont="1"/>
    <xf numFmtId="176" fontId="5" fillId="0" borderId="0" xfId="22" applyNumberFormat="1" applyFill="1" applyAlignment="1"/>
    <xf numFmtId="37" fontId="14" fillId="0" borderId="0" xfId="22" applyFont="1" applyAlignment="1"/>
    <xf numFmtId="203" fontId="14" fillId="0" borderId="0" xfId="5" applyNumberFormat="1" applyFont="1" applyFill="1"/>
    <xf numFmtId="43" fontId="14" fillId="0" borderId="0" xfId="3" applyFont="1" applyFill="1"/>
    <xf numFmtId="43" fontId="13" fillId="0" borderId="0" xfId="3" applyFont="1" applyFill="1"/>
    <xf numFmtId="10" fontId="14" fillId="0" borderId="0" xfId="24" applyNumberFormat="1" applyFont="1" applyFill="1"/>
    <xf numFmtId="206" fontId="14" fillId="0" borderId="0" xfId="3" applyNumberFormat="1" applyFont="1" applyFill="1"/>
    <xf numFmtId="206" fontId="14" fillId="0" borderId="0" xfId="0" applyNumberFormat="1" applyFont="1" applyFill="1"/>
    <xf numFmtId="206" fontId="14" fillId="0" borderId="0" xfId="3" applyNumberFormat="1" applyFont="1"/>
    <xf numFmtId="43" fontId="14" fillId="0" borderId="0" xfId="0" applyNumberFormat="1" applyFont="1" applyFill="1"/>
    <xf numFmtId="1" fontId="20" fillId="0" borderId="0" xfId="0" applyNumberFormat="1" applyFont="1" applyAlignment="1" applyProtection="1">
      <alignment horizontal="center"/>
    </xf>
    <xf numFmtId="10" fontId="8" fillId="0" borderId="0" xfId="24" applyNumberFormat="1" applyFont="1" applyProtection="1"/>
    <xf numFmtId="206" fontId="10" fillId="0" borderId="0" xfId="3" applyNumberFormat="1" applyFont="1" applyProtection="1"/>
    <xf numFmtId="0" fontId="2" fillId="0" borderId="0" xfId="0" applyFont="1"/>
    <xf numFmtId="8" fontId="7" fillId="0" borderId="0" xfId="6" applyFont="1" applyFill="1"/>
    <xf numFmtId="0" fontId="8" fillId="0" borderId="0" xfId="0" applyFont="1"/>
    <xf numFmtId="0" fontId="17" fillId="0" borderId="9" xfId="0" applyFont="1" applyBorder="1"/>
    <xf numFmtId="0" fontId="17" fillId="0" borderId="11" xfId="0" applyFont="1" applyBorder="1"/>
    <xf numFmtId="37" fontId="5" fillId="0" borderId="0" xfId="22" applyFill="1" applyAlignment="1">
      <alignment horizontal="right"/>
    </xf>
    <xf numFmtId="167" fontId="20" fillId="0" borderId="0" xfId="0" applyNumberFormat="1" applyFont="1" applyFill="1" applyProtection="1"/>
    <xf numFmtId="205" fontId="5" fillId="0" borderId="0" xfId="3" applyNumberFormat="1" applyFont="1" applyFill="1"/>
    <xf numFmtId="43" fontId="14" fillId="0" borderId="0" xfId="3" applyFont="1"/>
    <xf numFmtId="0" fontId="5" fillId="0" borderId="0" xfId="0" applyFont="1" applyFill="1" applyBorder="1"/>
    <xf numFmtId="44" fontId="5" fillId="0" borderId="0" xfId="3" applyNumberFormat="1" applyFont="1" applyBorder="1"/>
    <xf numFmtId="10" fontId="94" fillId="0" borderId="9" xfId="23" applyNumberFormat="1" applyFont="1" applyBorder="1"/>
    <xf numFmtId="37" fontId="94" fillId="0" borderId="9" xfId="23" applyNumberFormat="1" applyFont="1" applyBorder="1"/>
    <xf numFmtId="38" fontId="17" fillId="0" borderId="0" xfId="0" applyNumberFormat="1" applyFont="1"/>
    <xf numFmtId="10" fontId="30" fillId="0" borderId="9" xfId="24" applyNumberFormat="1" applyFont="1" applyBorder="1" applyAlignment="1">
      <alignment horizontal="right"/>
    </xf>
    <xf numFmtId="174" fontId="18" fillId="0" borderId="9" xfId="0" applyNumberFormat="1" applyFont="1" applyBorder="1" applyProtection="1">
      <protection locked="0"/>
    </xf>
    <xf numFmtId="174" fontId="18" fillId="0" borderId="11" xfId="0" applyNumberFormat="1" applyFont="1" applyBorder="1" applyProtection="1">
      <protection locked="0"/>
    </xf>
    <xf numFmtId="10" fontId="28" fillId="0" borderId="0" xfId="23" applyNumberFormat="1" applyFont="1" applyBorder="1"/>
    <xf numFmtId="37" fontId="94" fillId="0" borderId="0" xfId="23" applyNumberFormat="1" applyFont="1" applyBorder="1"/>
    <xf numFmtId="10" fontId="94" fillId="0" borderId="0" xfId="23" applyNumberFormat="1" applyFont="1" applyBorder="1"/>
    <xf numFmtId="37" fontId="28" fillId="0" borderId="0" xfId="23" applyNumberFormat="1" applyFont="1" applyFill="1" applyBorder="1"/>
    <xf numFmtId="0" fontId="28" fillId="0" borderId="3" xfId="23" applyFont="1" applyBorder="1" applyAlignment="1">
      <alignment horizontal="center" wrapText="1"/>
    </xf>
    <xf numFmtId="0" fontId="29" fillId="0" borderId="15" xfId="23" applyFont="1" applyBorder="1"/>
    <xf numFmtId="5" fontId="29" fillId="0" borderId="15" xfId="23" applyNumberFormat="1" applyFont="1" applyBorder="1"/>
    <xf numFmtId="5" fontId="26" fillId="0" borderId="0" xfId="23" applyNumberFormat="1" applyFont="1"/>
    <xf numFmtId="0" fontId="96" fillId="0" borderId="0" xfId="0" applyFont="1" applyAlignment="1">
      <alignment vertical="top" wrapText="1"/>
    </xf>
    <xf numFmtId="0" fontId="58" fillId="0" borderId="0" xfId="0" applyFont="1"/>
    <xf numFmtId="0" fontId="97" fillId="0" borderId="6" xfId="0" applyFont="1" applyBorder="1"/>
    <xf numFmtId="0" fontId="97" fillId="0" borderId="10" xfId="0" applyFont="1" applyBorder="1"/>
    <xf numFmtId="0" fontId="97" fillId="0" borderId="0" xfId="0" applyFont="1" applyBorder="1"/>
    <xf numFmtId="38" fontId="58" fillId="0" borderId="0" xfId="0" applyNumberFormat="1" applyFont="1"/>
    <xf numFmtId="0" fontId="97" fillId="0" borderId="0" xfId="0" applyFont="1"/>
    <xf numFmtId="0" fontId="98" fillId="0" borderId="0" xfId="0" applyFont="1"/>
    <xf numFmtId="0" fontId="86" fillId="0" borderId="0" xfId="0" applyFont="1"/>
    <xf numFmtId="38" fontId="99" fillId="0" borderId="0" xfId="0" applyNumberFormat="1" applyFont="1"/>
    <xf numFmtId="5" fontId="100" fillId="0" borderId="18" xfId="0" applyNumberFormat="1" applyFont="1" applyBorder="1"/>
    <xf numFmtId="42" fontId="100" fillId="0" borderId="11" xfId="0" applyNumberFormat="1" applyFont="1" applyBorder="1"/>
    <xf numFmtId="206" fontId="86" fillId="0" borderId="0" xfId="3" applyNumberFormat="1" applyFont="1"/>
    <xf numFmtId="0" fontId="99" fillId="0" borderId="0" xfId="0" applyFont="1"/>
    <xf numFmtId="37" fontId="86" fillId="0" borderId="0" xfId="0" applyNumberFormat="1" applyFont="1"/>
    <xf numFmtId="206" fontId="99" fillId="0" borderId="0" xfId="3" applyNumberFormat="1" applyFont="1"/>
    <xf numFmtId="37" fontId="58" fillId="0" borderId="0" xfId="0" applyNumberFormat="1" applyFont="1"/>
    <xf numFmtId="0" fontId="86" fillId="0" borderId="0" xfId="0" applyFont="1" applyBorder="1"/>
    <xf numFmtId="206" fontId="98" fillId="0" borderId="0" xfId="3" applyNumberFormat="1" applyFont="1" applyBorder="1"/>
    <xf numFmtId="206" fontId="98" fillId="0" borderId="19" xfId="3" applyNumberFormat="1" applyFont="1" applyBorder="1"/>
    <xf numFmtId="0" fontId="58" fillId="0" borderId="19" xfId="0" applyFont="1" applyBorder="1"/>
    <xf numFmtId="38" fontId="58" fillId="0" borderId="19" xfId="0" applyNumberFormat="1" applyFont="1" applyBorder="1"/>
    <xf numFmtId="37" fontId="86" fillId="0" borderId="0" xfId="22" applyFont="1" applyAlignment="1"/>
    <xf numFmtId="41" fontId="86" fillId="0" borderId="0" xfId="6" applyNumberFormat="1" applyFont="1" applyFill="1"/>
    <xf numFmtId="37" fontId="86" fillId="0" borderId="0" xfId="22" applyFont="1" applyFill="1" applyAlignment="1"/>
    <xf numFmtId="37" fontId="86" fillId="0" borderId="0" xfId="22" applyNumberFormat="1" applyFont="1" applyAlignment="1"/>
    <xf numFmtId="37" fontId="86" fillId="0" borderId="0" xfId="22" applyFont="1" applyAlignment="1">
      <alignment horizontal="right"/>
    </xf>
    <xf numFmtId="167" fontId="102" fillId="0" borderId="0" xfId="0" applyNumberFormat="1" applyFont="1" applyProtection="1"/>
    <xf numFmtId="0" fontId="86" fillId="0" borderId="0" xfId="0" applyFont="1" applyAlignment="1" applyProtection="1">
      <alignment horizontal="right"/>
    </xf>
    <xf numFmtId="0" fontId="86" fillId="0" borderId="0" xfId="0" applyFont="1" applyAlignment="1" applyProtection="1">
      <alignment horizontal="left"/>
    </xf>
    <xf numFmtId="172" fontId="107" fillId="0" borderId="0" xfId="0" applyNumberFormat="1" applyFont="1" applyProtection="1">
      <protection locked="0"/>
    </xf>
    <xf numFmtId="0" fontId="86" fillId="0" borderId="0" xfId="0" applyFont="1" applyProtection="1"/>
    <xf numFmtId="10" fontId="86" fillId="0" borderId="0" xfId="24" applyNumberFormat="1" applyFont="1" applyProtection="1"/>
    <xf numFmtId="203" fontId="86" fillId="0" borderId="0" xfId="5" applyNumberFormat="1" applyFont="1"/>
    <xf numFmtId="206" fontId="86" fillId="0" borderId="0" xfId="3" applyNumberFormat="1" applyFont="1" applyProtection="1"/>
    <xf numFmtId="206" fontId="108" fillId="0" borderId="0" xfId="3" applyNumberFormat="1" applyFont="1" applyProtection="1"/>
    <xf numFmtId="10" fontId="107" fillId="0" borderId="0" xfId="24" applyNumberFormat="1" applyFont="1" applyProtection="1"/>
    <xf numFmtId="0" fontId="86" fillId="0" borderId="0" xfId="0" applyFont="1" applyAlignment="1">
      <alignment horizontal="center"/>
    </xf>
    <xf numFmtId="9" fontId="86" fillId="0" borderId="0" xfId="24" applyFont="1"/>
    <xf numFmtId="203" fontId="86" fillId="0" borderId="0" xfId="5" applyNumberFormat="1" applyFont="1" applyProtection="1"/>
    <xf numFmtId="37" fontId="86" fillId="0" borderId="0" xfId="0" applyNumberFormat="1" applyFont="1" applyProtection="1"/>
    <xf numFmtId="206" fontId="107" fillId="0" borderId="0" xfId="3" applyNumberFormat="1" applyFont="1" applyProtection="1">
      <protection locked="0"/>
    </xf>
    <xf numFmtId="206" fontId="86" fillId="0" borderId="0" xfId="3" applyNumberFormat="1" applyFont="1" applyProtection="1">
      <protection locked="0"/>
    </xf>
    <xf numFmtId="9" fontId="86" fillId="0" borderId="0" xfId="24" applyFont="1" applyProtection="1">
      <protection locked="0"/>
    </xf>
    <xf numFmtId="206" fontId="108" fillId="0" borderId="4" xfId="3" applyNumberFormat="1" applyFont="1" applyBorder="1" applyProtection="1"/>
    <xf numFmtId="203" fontId="86" fillId="0" borderId="0" xfId="0" applyNumberFormat="1" applyFont="1"/>
    <xf numFmtId="0" fontId="99" fillId="0" borderId="0" xfId="0" applyFont="1" applyAlignment="1"/>
    <xf numFmtId="0" fontId="58" fillId="0" borderId="0" xfId="0" applyFont="1" applyAlignment="1">
      <alignment horizontal="centerContinuous"/>
    </xf>
    <xf numFmtId="10" fontId="58" fillId="0" borderId="0" xfId="24" applyNumberFormat="1" applyFont="1"/>
    <xf numFmtId="0" fontId="111" fillId="0" borderId="0" xfId="0" applyFont="1"/>
    <xf numFmtId="0" fontId="112" fillId="0" borderId="0" xfId="0" applyFont="1" applyAlignment="1">
      <alignment horizontal="right"/>
    </xf>
    <xf numFmtId="0" fontId="115" fillId="0" borderId="0" xfId="0" applyFont="1"/>
    <xf numFmtId="0" fontId="111" fillId="0" borderId="7" xfId="0" applyFont="1" applyBorder="1"/>
    <xf numFmtId="0" fontId="111" fillId="0" borderId="18" xfId="0" applyFont="1" applyBorder="1"/>
    <xf numFmtId="0" fontId="111" fillId="0" borderId="8" xfId="0" applyFont="1" applyBorder="1" applyAlignment="1" applyProtection="1">
      <alignment horizontal="left"/>
    </xf>
    <xf numFmtId="171" fontId="111" fillId="0" borderId="0" xfId="0" applyNumberFormat="1" applyFont="1" applyBorder="1" applyAlignment="1" applyProtection="1">
      <alignment horizontal="center"/>
    </xf>
    <xf numFmtId="203" fontId="111" fillId="0" borderId="9" xfId="0" applyNumberFormat="1" applyFont="1" applyBorder="1" applyProtection="1"/>
    <xf numFmtId="0" fontId="111" fillId="0" borderId="0" xfId="0" applyFont="1" applyBorder="1"/>
    <xf numFmtId="0" fontId="114" fillId="0" borderId="0" xfId="0" applyFont="1" applyBorder="1" applyProtection="1">
      <protection locked="0"/>
    </xf>
    <xf numFmtId="0" fontId="115" fillId="0" borderId="8" xfId="0" applyFont="1" applyBorder="1" applyAlignment="1" applyProtection="1">
      <alignment horizontal="left"/>
    </xf>
    <xf numFmtId="197" fontId="111" fillId="0" borderId="0" xfId="0" applyNumberFormat="1" applyFont="1" applyBorder="1"/>
    <xf numFmtId="206" fontId="112" fillId="0" borderId="0" xfId="3" applyNumberFormat="1" applyFont="1" applyFill="1" applyBorder="1"/>
    <xf numFmtId="0" fontId="114" fillId="0" borderId="0" xfId="0" applyFont="1" applyBorder="1"/>
    <xf numFmtId="206" fontId="112" fillId="0" borderId="9" xfId="3" applyNumberFormat="1" applyFont="1" applyBorder="1"/>
    <xf numFmtId="197" fontId="112" fillId="0" borderId="0" xfId="0" applyNumberFormat="1" applyFont="1" applyBorder="1" applyAlignment="1">
      <alignment horizontal="right"/>
    </xf>
    <xf numFmtId="6" fontId="111" fillId="0" borderId="0" xfId="0" applyNumberFormat="1" applyFont="1" applyBorder="1"/>
    <xf numFmtId="0" fontId="111" fillId="0" borderId="8" xfId="0" applyFont="1" applyBorder="1" applyAlignment="1" applyProtection="1"/>
    <xf numFmtId="0" fontId="111" fillId="0" borderId="0" xfId="0" applyFont="1" applyBorder="1" applyAlignment="1">
      <alignment horizontal="center"/>
    </xf>
    <xf numFmtId="0" fontId="111" fillId="0" borderId="8" xfId="0" applyFont="1" applyBorder="1" applyAlignment="1">
      <alignment horizontal="left"/>
    </xf>
    <xf numFmtId="206" fontId="112" fillId="0" borderId="9" xfId="3" applyNumberFormat="1" applyFont="1" applyFill="1" applyBorder="1"/>
    <xf numFmtId="0" fontId="118" fillId="0" borderId="10" xfId="0" applyFont="1" applyBorder="1" applyAlignment="1" applyProtection="1">
      <alignment horizontal="left"/>
    </xf>
    <xf numFmtId="317" fontId="119" fillId="0" borderId="4" xfId="0" applyNumberFormat="1" applyFont="1" applyBorder="1"/>
    <xf numFmtId="203" fontId="119" fillId="0" borderId="4" xfId="5" applyNumberFormat="1" applyFont="1" applyFill="1" applyBorder="1" applyProtection="1">
      <protection locked="0"/>
    </xf>
    <xf numFmtId="317" fontId="111" fillId="0" borderId="4" xfId="0" applyNumberFormat="1" applyFont="1" applyBorder="1"/>
    <xf numFmtId="0" fontId="111" fillId="0" borderId="8" xfId="0" applyFont="1" applyBorder="1" applyAlignment="1">
      <alignment horizontal="center"/>
    </xf>
    <xf numFmtId="0" fontId="111" fillId="0" borderId="9" xfId="0" applyFont="1" applyBorder="1"/>
    <xf numFmtId="171" fontId="111" fillId="0" borderId="9" xfId="24" applyNumberFormat="1" applyFont="1" applyBorder="1" applyProtection="1">
      <protection locked="0"/>
    </xf>
    <xf numFmtId="0" fontId="111" fillId="0" borderId="0" xfId="0" applyFont="1" applyFill="1"/>
    <xf numFmtId="0" fontId="116" fillId="0" borderId="8" xfId="0" applyFont="1" applyBorder="1" applyAlignment="1" applyProtection="1">
      <alignment horizontal="left"/>
    </xf>
    <xf numFmtId="0" fontId="58" fillId="0" borderId="0" xfId="0" applyFont="1" applyBorder="1"/>
    <xf numFmtId="0" fontId="120" fillId="0" borderId="8" xfId="0" applyFont="1" applyBorder="1" applyAlignment="1" applyProtection="1">
      <alignment horizontal="left"/>
    </xf>
    <xf numFmtId="5" fontId="114" fillId="0" borderId="0" xfId="0" applyNumberFormat="1" applyFont="1" applyBorder="1" applyAlignment="1"/>
    <xf numFmtId="0" fontId="115" fillId="0" borderId="0" xfId="0" applyFont="1" applyBorder="1"/>
    <xf numFmtId="0" fontId="111" fillId="0" borderId="0" xfId="0" applyFont="1" applyFill="1" applyBorder="1" applyAlignment="1">
      <alignment horizontal="center"/>
    </xf>
    <xf numFmtId="15" fontId="112" fillId="0" borderId="9" xfId="0" applyNumberFormat="1" applyFont="1" applyBorder="1" applyProtection="1">
      <protection locked="0"/>
    </xf>
    <xf numFmtId="9" fontId="111" fillId="0" borderId="0" xfId="24" applyFont="1"/>
    <xf numFmtId="0" fontId="111" fillId="0" borderId="8" xfId="0" applyFont="1" applyBorder="1"/>
    <xf numFmtId="0" fontId="111" fillId="0" borderId="10" xfId="0" applyFont="1" applyBorder="1"/>
    <xf numFmtId="0" fontId="111" fillId="0" borderId="4" xfId="0" applyFont="1" applyBorder="1" applyAlignment="1">
      <alignment horizontal="right"/>
    </xf>
    <xf numFmtId="5" fontId="111" fillId="0" borderId="3" xfId="5" applyNumberFormat="1" applyFont="1" applyBorder="1" applyAlignment="1">
      <alignment horizontal="center"/>
    </xf>
    <xf numFmtId="0" fontId="115" fillId="0" borderId="8" xfId="0" applyFont="1" applyBorder="1"/>
    <xf numFmtId="10" fontId="112" fillId="0" borderId="0" xfId="24" applyNumberFormat="1" applyFont="1" applyBorder="1"/>
    <xf numFmtId="0" fontId="111" fillId="0" borderId="0" xfId="0" applyFont="1" applyAlignment="1" applyProtection="1">
      <alignment horizontal="left"/>
    </xf>
    <xf numFmtId="0" fontId="117" fillId="0" borderId="0" xfId="0" applyFont="1" applyAlignment="1" applyProtection="1">
      <alignment horizontal="center"/>
    </xf>
    <xf numFmtId="0" fontId="121" fillId="0" borderId="0" xfId="0" applyFont="1" applyAlignment="1" applyProtection="1">
      <alignment horizontal="center"/>
    </xf>
    <xf numFmtId="0" fontId="121" fillId="0" borderId="0" xfId="0" applyFont="1" applyAlignment="1">
      <alignment horizontal="centerContinuous"/>
    </xf>
    <xf numFmtId="0" fontId="114" fillId="0" borderId="4" xfId="0" applyFont="1" applyFill="1" applyBorder="1"/>
    <xf numFmtId="10" fontId="114" fillId="0" borderId="4" xfId="24" applyNumberFormat="1" applyFont="1" applyFill="1" applyBorder="1"/>
    <xf numFmtId="0" fontId="111" fillId="0" borderId="4" xfId="0" applyFont="1" applyBorder="1"/>
    <xf numFmtId="0" fontId="111" fillId="0" borderId="0" xfId="0" applyFont="1" applyFill="1" applyBorder="1"/>
    <xf numFmtId="37" fontId="111" fillId="0" borderId="8" xfId="22" applyFont="1" applyBorder="1" applyAlignment="1">
      <alignment horizontal="left"/>
    </xf>
    <xf numFmtId="0" fontId="112" fillId="0" borderId="9" xfId="0" applyFont="1" applyBorder="1"/>
    <xf numFmtId="206" fontId="112" fillId="0" borderId="0" xfId="3" applyNumberFormat="1" applyFont="1" applyFill="1" applyBorder="1" applyProtection="1"/>
    <xf numFmtId="37" fontId="111" fillId="0" borderId="9" xfId="0" applyNumberFormat="1" applyFont="1" applyBorder="1" applyProtection="1"/>
    <xf numFmtId="0" fontId="122" fillId="0" borderId="8" xfId="0" applyFont="1" applyBorder="1" applyAlignment="1" applyProtection="1">
      <alignment horizontal="left"/>
    </xf>
    <xf numFmtId="10" fontId="112" fillId="8" borderId="0" xfId="24" applyNumberFormat="1" applyFont="1" applyFill="1" applyBorder="1" applyAlignment="1">
      <alignment horizontal="center"/>
    </xf>
    <xf numFmtId="0" fontId="111" fillId="0" borderId="8" xfId="0" applyNumberFormat="1" applyFont="1" applyBorder="1"/>
    <xf numFmtId="0" fontId="111" fillId="0" borderId="0" xfId="0" applyNumberFormat="1" applyFont="1" applyBorder="1"/>
    <xf numFmtId="9" fontId="111" fillId="0" borderId="0" xfId="0" applyNumberFormat="1" applyFont="1" applyBorder="1"/>
    <xf numFmtId="44" fontId="107" fillId="0" borderId="9" xfId="5" applyFont="1" applyBorder="1" applyAlignment="1">
      <alignment horizontal="right"/>
    </xf>
    <xf numFmtId="206" fontId="111" fillId="0" borderId="9" xfId="3" applyNumberFormat="1" applyFont="1" applyBorder="1" applyProtection="1"/>
    <xf numFmtId="10" fontId="107" fillId="0" borderId="9" xfId="24" applyNumberFormat="1" applyFont="1" applyBorder="1" applyAlignment="1">
      <alignment horizontal="right"/>
    </xf>
    <xf numFmtId="10" fontId="107" fillId="0" borderId="4" xfId="24" applyNumberFormat="1" applyFont="1" applyBorder="1" applyAlignment="1">
      <alignment horizontal="right"/>
    </xf>
    <xf numFmtId="7" fontId="111" fillId="0" borderId="11" xfId="0" applyNumberFormat="1" applyFont="1" applyBorder="1"/>
    <xf numFmtId="10" fontId="112" fillId="0" borderId="0" xfId="24" applyNumberFormat="1" applyFont="1" applyFill="1" applyBorder="1"/>
    <xf numFmtId="203" fontId="111" fillId="0" borderId="0" xfId="5" applyNumberFormat="1" applyFont="1" applyBorder="1"/>
    <xf numFmtId="10" fontId="107" fillId="0" borderId="0" xfId="24" applyNumberFormat="1" applyFont="1" applyBorder="1" applyAlignment="1">
      <alignment horizontal="right"/>
    </xf>
    <xf numFmtId="7" fontId="111" fillId="0" borderId="0" xfId="0" applyNumberFormat="1" applyFont="1"/>
    <xf numFmtId="206" fontId="125" fillId="0" borderId="9" xfId="3" applyNumberFormat="1" applyFont="1" applyBorder="1" applyProtection="1"/>
    <xf numFmtId="0" fontId="112" fillId="8" borderId="9" xfId="0" applyFont="1" applyFill="1" applyBorder="1" applyAlignment="1">
      <alignment horizontal="right"/>
    </xf>
    <xf numFmtId="206" fontId="112" fillId="0" borderId="0" xfId="3" applyNumberFormat="1" applyFont="1" applyBorder="1"/>
    <xf numFmtId="203" fontId="112" fillId="8" borderId="0" xfId="5" applyNumberFormat="1" applyFont="1" applyFill="1" applyBorder="1"/>
    <xf numFmtId="0" fontId="126" fillId="0" borderId="0" xfId="0" applyFont="1" applyBorder="1" applyAlignment="1" applyProtection="1">
      <alignment horizontal="center"/>
    </xf>
    <xf numFmtId="0" fontId="126" fillId="0" borderId="9" xfId="0" applyFont="1" applyBorder="1" applyAlignment="1" applyProtection="1">
      <alignment horizontal="center"/>
    </xf>
    <xf numFmtId="0" fontId="115" fillId="0" borderId="0" xfId="0" applyFont="1" applyBorder="1" applyAlignment="1">
      <alignment horizontal="center"/>
    </xf>
    <xf numFmtId="203" fontId="111" fillId="0" borderId="0" xfId="5" applyNumberFormat="1" applyFont="1" applyFill="1" applyBorder="1" applyProtection="1"/>
    <xf numFmtId="203" fontId="111" fillId="0" borderId="0" xfId="5" applyNumberFormat="1" applyFont="1" applyBorder="1" applyProtection="1"/>
    <xf numFmtId="270" fontId="123" fillId="0" borderId="0" xfId="0" applyNumberFormat="1" applyFont="1" applyBorder="1" applyAlignment="1">
      <alignment horizontal="right"/>
    </xf>
    <xf numFmtId="0" fontId="112" fillId="0" borderId="0" xfId="0" applyFont="1" applyBorder="1" applyProtection="1"/>
    <xf numFmtId="0" fontId="112" fillId="0" borderId="0" xfId="0" applyFont="1" applyFill="1" applyBorder="1" applyProtection="1"/>
    <xf numFmtId="0" fontId="111" fillId="0" borderId="8" xfId="0" applyFont="1" applyFill="1" applyBorder="1" applyAlignment="1" applyProtection="1"/>
    <xf numFmtId="10" fontId="112" fillId="0" borderId="0" xfId="24" applyNumberFormat="1" applyFont="1" applyFill="1" applyBorder="1" applyProtection="1"/>
    <xf numFmtId="10" fontId="111" fillId="0" borderId="9" xfId="0" applyNumberFormat="1" applyFont="1" applyBorder="1"/>
    <xf numFmtId="2" fontId="112" fillId="0" borderId="0" xfId="0" applyNumberFormat="1" applyFont="1" applyFill="1" applyBorder="1" applyProtection="1"/>
    <xf numFmtId="2" fontId="112" fillId="0" borderId="0" xfId="0" applyNumberFormat="1" applyFont="1" applyFill="1" applyBorder="1" applyAlignment="1" applyProtection="1">
      <alignment horizontal="right"/>
    </xf>
    <xf numFmtId="2" fontId="111" fillId="0" borderId="9" xfId="0" applyNumberFormat="1" applyFont="1" applyBorder="1"/>
    <xf numFmtId="9" fontId="112" fillId="0" borderId="0" xfId="24" applyFont="1" applyBorder="1"/>
    <xf numFmtId="189" fontId="111" fillId="0" borderId="9" xfId="0" applyNumberFormat="1" applyFont="1" applyBorder="1"/>
    <xf numFmtId="10" fontId="112" fillId="0" borderId="0" xfId="24" applyNumberFormat="1" applyFont="1"/>
    <xf numFmtId="206" fontId="111" fillId="0" borderId="9" xfId="3" applyNumberFormat="1" applyFont="1" applyBorder="1"/>
    <xf numFmtId="9" fontId="112" fillId="0" borderId="9" xfId="24" applyFont="1" applyBorder="1" applyAlignment="1">
      <alignment horizontal="center"/>
    </xf>
    <xf numFmtId="0" fontId="111" fillId="0" borderId="10" xfId="0" applyFont="1" applyBorder="1" applyAlignment="1" applyProtection="1"/>
    <xf numFmtId="2" fontId="115" fillId="0" borderId="4" xfId="0" applyNumberFormat="1" applyFont="1" applyBorder="1" applyProtection="1"/>
    <xf numFmtId="2" fontId="115" fillId="0" borderId="4" xfId="0" applyNumberFormat="1" applyFont="1" applyBorder="1" applyAlignment="1" applyProtection="1">
      <alignment horizontal="right"/>
    </xf>
    <xf numFmtId="2" fontId="111" fillId="0" borderId="11" xfId="0" applyNumberFormat="1" applyFont="1" applyBorder="1"/>
    <xf numFmtId="206" fontId="125" fillId="0" borderId="9" xfId="3" applyNumberFormat="1" applyFont="1" applyBorder="1"/>
    <xf numFmtId="0" fontId="111" fillId="0" borderId="0" xfId="0" applyFont="1" applyAlignment="1" applyProtection="1"/>
    <xf numFmtId="2" fontId="115" fillId="0" borderId="0" xfId="0" applyNumberFormat="1" applyFont="1" applyProtection="1"/>
    <xf numFmtId="2" fontId="115" fillId="0" borderId="0" xfId="0" applyNumberFormat="1" applyFont="1" applyAlignment="1" applyProtection="1">
      <alignment horizontal="right"/>
    </xf>
    <xf numFmtId="2" fontId="111" fillId="0" borderId="0" xfId="0" applyNumberFormat="1" applyFont="1"/>
    <xf numFmtId="10" fontId="111" fillId="0" borderId="0" xfId="24" applyNumberFormat="1" applyFont="1" applyBorder="1"/>
    <xf numFmtId="5" fontId="111" fillId="0" borderId="0" xfId="0" applyNumberFormat="1" applyFont="1" applyProtection="1"/>
    <xf numFmtId="43" fontId="111" fillId="0" borderId="0" xfId="0" applyNumberFormat="1" applyFont="1" applyBorder="1"/>
    <xf numFmtId="2" fontId="112" fillId="0" borderId="9" xfId="0" applyNumberFormat="1" applyFont="1" applyBorder="1" applyAlignment="1" applyProtection="1">
      <alignment horizontal="right"/>
    </xf>
    <xf numFmtId="171" fontId="111" fillId="0" borderId="0" xfId="0" applyNumberFormat="1" applyFont="1" applyBorder="1" applyAlignment="1">
      <alignment horizontal="center"/>
    </xf>
    <xf numFmtId="206" fontId="111" fillId="0" borderId="9" xfId="3" applyNumberFormat="1" applyFont="1" applyBorder="1" applyAlignment="1" applyProtection="1">
      <alignment horizontal="right"/>
    </xf>
    <xf numFmtId="206" fontId="128" fillId="8" borderId="9" xfId="3" applyNumberFormat="1" applyFont="1" applyFill="1" applyBorder="1"/>
    <xf numFmtId="0" fontId="111" fillId="0" borderId="10" xfId="0" applyFont="1" applyBorder="1" applyAlignment="1" applyProtection="1">
      <alignment horizontal="left"/>
    </xf>
    <xf numFmtId="5" fontId="112" fillId="0" borderId="4" xfId="0" applyNumberFormat="1" applyFont="1" applyBorder="1"/>
    <xf numFmtId="171" fontId="112" fillId="0" borderId="11" xfId="0" applyNumberFormat="1" applyFont="1" applyBorder="1"/>
    <xf numFmtId="43" fontId="117" fillId="0" borderId="0" xfId="0" applyNumberFormat="1" applyFont="1" applyBorder="1"/>
    <xf numFmtId="0" fontId="115" fillId="0" borderId="10" xfId="0" applyFont="1" applyBorder="1"/>
    <xf numFmtId="0" fontId="111" fillId="0" borderId="4" xfId="0" applyFont="1" applyBorder="1" applyAlignment="1">
      <alignment horizontal="center"/>
    </xf>
    <xf numFmtId="171" fontId="112" fillId="0" borderId="9" xfId="0" applyNumberFormat="1" applyFont="1" applyBorder="1"/>
    <xf numFmtId="206" fontId="112" fillId="0" borderId="11" xfId="0" applyNumberFormat="1" applyFont="1" applyBorder="1"/>
    <xf numFmtId="171" fontId="112" fillId="0" borderId="0" xfId="24" applyNumberFormat="1" applyFont="1" applyBorder="1" applyAlignment="1" applyProtection="1">
      <alignment horizontal="center"/>
      <protection locked="0"/>
    </xf>
    <xf numFmtId="206" fontId="112" fillId="0" borderId="0" xfId="0" applyNumberFormat="1" applyFont="1" applyBorder="1"/>
    <xf numFmtId="171" fontId="112" fillId="8" borderId="0" xfId="24" applyNumberFormat="1" applyFont="1" applyFill="1" applyBorder="1" applyAlignment="1">
      <alignment horizontal="center"/>
    </xf>
    <xf numFmtId="0" fontId="115" fillId="0" borderId="4" xfId="0" applyFont="1" applyBorder="1" applyAlignment="1">
      <alignment horizontal="center"/>
    </xf>
    <xf numFmtId="0" fontId="119" fillId="0" borderId="0" xfId="0" applyFont="1" applyBorder="1" applyAlignment="1" applyProtection="1">
      <alignment horizontal="center"/>
    </xf>
    <xf numFmtId="0" fontId="119" fillId="0" borderId="9" xfId="0" applyFont="1" applyBorder="1" applyAlignment="1" applyProtection="1">
      <alignment horizontal="center"/>
    </xf>
    <xf numFmtId="0" fontId="126" fillId="0" borderId="8" xfId="0" applyFont="1" applyBorder="1" applyAlignment="1" applyProtection="1">
      <alignment horizontal="center"/>
    </xf>
    <xf numFmtId="0" fontId="117" fillId="0" borderId="0" xfId="0" applyFont="1" applyBorder="1"/>
    <xf numFmtId="10" fontId="112" fillId="0" borderId="0" xfId="0" applyNumberFormat="1" applyFont="1" applyFill="1" applyBorder="1" applyProtection="1">
      <protection locked="0"/>
    </xf>
    <xf numFmtId="0" fontId="111" fillId="0" borderId="8" xfId="0" applyFont="1" applyBorder="1" applyAlignment="1" applyProtection="1">
      <alignment horizontal="center"/>
    </xf>
    <xf numFmtId="10" fontId="111" fillId="0" borderId="0" xfId="0" applyNumberFormat="1" applyFont="1" applyBorder="1" applyAlignment="1" applyProtection="1">
      <alignment horizontal="center"/>
    </xf>
    <xf numFmtId="10" fontId="111" fillId="0" borderId="9" xfId="0" applyNumberFormat="1" applyFont="1" applyBorder="1" applyAlignment="1" applyProtection="1">
      <alignment horizontal="center"/>
    </xf>
    <xf numFmtId="10" fontId="115" fillId="0" borderId="0" xfId="21" applyNumberFormat="1" applyFont="1" applyBorder="1" applyProtection="1">
      <protection locked="0"/>
    </xf>
    <xf numFmtId="0" fontId="112" fillId="0" borderId="9" xfId="0" applyFont="1" applyBorder="1" applyAlignment="1">
      <alignment horizontal="right"/>
    </xf>
    <xf numFmtId="10" fontId="111" fillId="0" borderId="0" xfId="24" applyNumberFormat="1" applyFont="1" applyFill="1" applyBorder="1"/>
    <xf numFmtId="275" fontId="112" fillId="0" borderId="9" xfId="0" applyNumberFormat="1" applyFont="1" applyBorder="1" applyAlignment="1">
      <alignment horizontal="right"/>
    </xf>
    <xf numFmtId="0" fontId="111" fillId="0" borderId="0" xfId="0" applyFont="1" applyBorder="1" applyAlignment="1" applyProtection="1">
      <alignment horizontal="center"/>
    </xf>
    <xf numFmtId="0" fontId="111" fillId="0" borderId="9" xfId="0" applyFont="1" applyBorder="1" applyAlignment="1" applyProtection="1">
      <alignment horizontal="center"/>
    </xf>
    <xf numFmtId="10" fontId="111" fillId="0" borderId="0" xfId="0" applyNumberFormat="1" applyFont="1" applyFill="1"/>
    <xf numFmtId="5" fontId="111" fillId="0" borderId="0" xfId="24" applyNumberFormat="1" applyFont="1" applyBorder="1" applyAlignment="1" applyProtection="1">
      <alignment horizontal="center"/>
    </xf>
    <xf numFmtId="5" fontId="111" fillId="0" borderId="9" xfId="24" applyNumberFormat="1" applyFont="1" applyBorder="1" applyAlignment="1" applyProtection="1">
      <alignment horizontal="center"/>
    </xf>
    <xf numFmtId="275" fontId="112" fillId="0" borderId="9" xfId="0" applyNumberFormat="1" applyFont="1" applyBorder="1"/>
    <xf numFmtId="0" fontId="111" fillId="0" borderId="10" xfId="0" applyFont="1" applyBorder="1" applyAlignment="1" applyProtection="1">
      <alignment horizontal="center"/>
    </xf>
    <xf numFmtId="5" fontId="111" fillId="0" borderId="4" xfId="24" applyNumberFormat="1" applyFont="1" applyBorder="1" applyAlignment="1" applyProtection="1">
      <alignment horizontal="center"/>
    </xf>
    <xf numFmtId="0" fontId="119" fillId="0" borderId="8" xfId="0" applyFont="1" applyBorder="1"/>
    <xf numFmtId="0" fontId="111" fillId="0" borderId="0" xfId="0" applyFont="1" applyAlignment="1" applyProtection="1">
      <alignment horizontal="center"/>
    </xf>
    <xf numFmtId="0" fontId="111" fillId="0" borderId="0" xfId="0" applyFont="1" applyAlignment="1">
      <alignment horizontal="center"/>
    </xf>
    <xf numFmtId="5" fontId="111" fillId="0" borderId="0" xfId="24" applyNumberFormat="1" applyFont="1" applyAlignment="1" applyProtection="1">
      <alignment horizontal="center"/>
    </xf>
    <xf numFmtId="1" fontId="107" fillId="0" borderId="9" xfId="3" applyNumberFormat="1" applyFont="1" applyBorder="1" applyAlignment="1">
      <alignment horizontal="right"/>
    </xf>
    <xf numFmtId="9" fontId="112" fillId="0" borderId="9" xfId="24" applyFont="1" applyBorder="1"/>
    <xf numFmtId="2" fontId="111" fillId="0" borderId="0" xfId="0" applyNumberFormat="1" applyFont="1" applyBorder="1"/>
    <xf numFmtId="0" fontId="121" fillId="0" borderId="0" xfId="0" applyFont="1" applyFill="1" applyBorder="1"/>
    <xf numFmtId="0" fontId="111" fillId="0" borderId="9" xfId="0" applyFont="1" applyBorder="1" applyAlignment="1">
      <alignment horizontal="right"/>
    </xf>
    <xf numFmtId="0" fontId="112" fillId="0" borderId="11" xfId="0" applyFont="1" applyBorder="1" applyAlignment="1">
      <alignment horizontal="right"/>
    </xf>
    <xf numFmtId="2" fontId="111" fillId="0" borderId="8" xfId="22" applyNumberFormat="1" applyFont="1" applyBorder="1" applyAlignment="1">
      <alignment horizontal="left"/>
    </xf>
    <xf numFmtId="10" fontId="112" fillId="0" borderId="0" xfId="24" applyNumberFormat="1" applyFont="1" applyBorder="1" applyAlignment="1">
      <alignment horizontal="center"/>
    </xf>
    <xf numFmtId="0" fontId="126" fillId="0" borderId="0" xfId="0" applyFont="1" applyFill="1"/>
    <xf numFmtId="0" fontId="119" fillId="0" borderId="0" xfId="0" applyFont="1" applyFill="1"/>
    <xf numFmtId="206" fontId="119" fillId="0" borderId="0" xfId="3" applyNumberFormat="1" applyFont="1" applyFill="1"/>
    <xf numFmtId="2" fontId="111" fillId="0" borderId="10" xfId="22" applyNumberFormat="1" applyFont="1" applyBorder="1" applyAlignment="1">
      <alignment horizontal="left"/>
    </xf>
    <xf numFmtId="2" fontId="111" fillId="0" borderId="4" xfId="0" applyNumberFormat="1" applyFont="1" applyBorder="1"/>
    <xf numFmtId="1" fontId="112" fillId="0" borderId="4" xfId="0" applyNumberFormat="1" applyFont="1" applyBorder="1" applyAlignment="1">
      <alignment horizontal="center"/>
    </xf>
    <xf numFmtId="0" fontId="126" fillId="0" borderId="20" xfId="0" applyFont="1" applyFill="1" applyBorder="1"/>
    <xf numFmtId="203" fontId="111" fillId="0" borderId="0" xfId="5" applyNumberFormat="1" applyFont="1"/>
    <xf numFmtId="10" fontId="119" fillId="0" borderId="0" xfId="24" applyNumberFormat="1" applyFont="1" applyFill="1"/>
    <xf numFmtId="0" fontId="130" fillId="0" borderId="6" xfId="0" applyFont="1" applyBorder="1"/>
    <xf numFmtId="203" fontId="111" fillId="0" borderId="0" xfId="0" applyNumberFormat="1" applyFont="1" applyBorder="1"/>
    <xf numFmtId="203" fontId="117" fillId="0" borderId="0" xfId="0" applyNumberFormat="1" applyFont="1" applyBorder="1"/>
    <xf numFmtId="206" fontId="111" fillId="0" borderId="4" xfId="0" applyNumberFormat="1" applyFont="1" applyBorder="1"/>
    <xf numFmtId="0" fontId="111" fillId="0" borderId="11" xfId="0" applyFont="1" applyBorder="1"/>
    <xf numFmtId="5" fontId="111" fillId="0" borderId="0" xfId="0" applyNumberFormat="1" applyFont="1" applyAlignment="1">
      <alignment horizontal="center"/>
    </xf>
    <xf numFmtId="0" fontId="111" fillId="0" borderId="21" xfId="0" applyFont="1" applyBorder="1"/>
    <xf numFmtId="0" fontId="111" fillId="0" borderId="22" xfId="0" applyFont="1" applyBorder="1"/>
    <xf numFmtId="0" fontId="130" fillId="0" borderId="23" xfId="0" applyFont="1" applyBorder="1" applyAlignment="1" applyProtection="1">
      <alignment horizontal="center"/>
    </xf>
    <xf numFmtId="0" fontId="130" fillId="0" borderId="24" xfId="0" applyFont="1" applyBorder="1" applyAlignment="1" applyProtection="1">
      <alignment horizontal="center"/>
    </xf>
    <xf numFmtId="203" fontId="130" fillId="0" borderId="23" xfId="0" applyNumberFormat="1" applyFont="1" applyBorder="1" applyAlignment="1">
      <alignment horizontal="center"/>
    </xf>
    <xf numFmtId="203" fontId="130" fillId="0" borderId="24" xfId="0" applyNumberFormat="1" applyFont="1" applyBorder="1" applyAlignment="1">
      <alignment horizontal="center"/>
    </xf>
    <xf numFmtId="0" fontId="112" fillId="0" borderId="0" xfId="0" applyFont="1" applyProtection="1">
      <protection locked="0"/>
    </xf>
    <xf numFmtId="0" fontId="119" fillId="0" borderId="0" xfId="0" applyFont="1" applyFill="1" applyAlignment="1">
      <alignment horizontal="right"/>
    </xf>
    <xf numFmtId="206" fontId="130" fillId="0" borderId="25" xfId="3" applyNumberFormat="1" applyFont="1" applyBorder="1" applyAlignment="1">
      <alignment horizontal="center"/>
    </xf>
    <xf numFmtId="206" fontId="130" fillId="0" borderId="24" xfId="3" applyNumberFormat="1" applyFont="1" applyBorder="1" applyAlignment="1">
      <alignment horizontal="center"/>
    </xf>
    <xf numFmtId="203" fontId="58" fillId="10" borderId="26" xfId="5" applyNumberFormat="1" applyFont="1" applyFill="1" applyBorder="1" applyAlignment="1" applyProtection="1">
      <alignment horizontal="center"/>
    </xf>
    <xf numFmtId="203" fontId="58" fillId="10" borderId="26" xfId="5" applyNumberFormat="1" applyFont="1" applyFill="1" applyBorder="1" applyAlignment="1">
      <alignment horizontal="center"/>
    </xf>
    <xf numFmtId="0" fontId="119" fillId="0" borderId="0" xfId="0" applyFont="1"/>
    <xf numFmtId="0" fontId="117" fillId="0" borderId="0" xfId="0" applyFont="1"/>
    <xf numFmtId="2" fontId="111" fillId="0" borderId="0" xfId="0" applyNumberFormat="1" applyFont="1" applyFill="1"/>
    <xf numFmtId="205" fontId="107" fillId="0" borderId="0" xfId="3" applyNumberFormat="1" applyFont="1" applyFill="1"/>
    <xf numFmtId="5" fontId="58" fillId="0" borderId="0" xfId="0" applyNumberFormat="1" applyFont="1"/>
    <xf numFmtId="37" fontId="98" fillId="0" borderId="0" xfId="22" applyFont="1" applyAlignment="1"/>
    <xf numFmtId="172" fontId="86" fillId="0" borderId="0" xfId="22" applyNumberFormat="1" applyFont="1" applyAlignment="1"/>
    <xf numFmtId="37" fontId="98" fillId="0" borderId="0" xfId="22" applyFont="1" applyAlignment="1">
      <alignment horizontal="left"/>
    </xf>
    <xf numFmtId="37" fontId="86" fillId="0" borderId="0" xfId="22" applyFont="1" applyAlignment="1">
      <alignment horizontal="left"/>
    </xf>
    <xf numFmtId="203" fontId="86" fillId="0" borderId="0" xfId="5" applyNumberFormat="1" applyFont="1" applyFill="1"/>
    <xf numFmtId="203" fontId="86" fillId="0" borderId="0" xfId="24" applyNumberFormat="1" applyFont="1"/>
    <xf numFmtId="206" fontId="86" fillId="0" borderId="0" xfId="6" applyNumberFormat="1" applyFont="1" applyFill="1"/>
    <xf numFmtId="41" fontId="108" fillId="0" borderId="0" xfId="6" applyNumberFormat="1" applyFont="1" applyFill="1"/>
    <xf numFmtId="203" fontId="108" fillId="0" borderId="0" xfId="5" applyNumberFormat="1" applyFont="1" applyFill="1"/>
    <xf numFmtId="43" fontId="108" fillId="0" borderId="0" xfId="3" applyFont="1" applyFill="1"/>
    <xf numFmtId="42" fontId="86" fillId="0" borderId="0" xfId="6" applyNumberFormat="1" applyFont="1" applyFill="1"/>
    <xf numFmtId="42" fontId="86" fillId="0" borderId="0" xfId="6" applyNumberFormat="1" applyFont="1" applyFill="1" applyAlignment="1">
      <alignment horizontal="left"/>
    </xf>
    <xf numFmtId="206" fontId="86" fillId="0" borderId="0" xfId="3" applyNumberFormat="1" applyFont="1" applyFill="1"/>
    <xf numFmtId="206" fontId="58" fillId="0" borderId="0" xfId="3" applyNumberFormat="1" applyFont="1"/>
    <xf numFmtId="15" fontId="86" fillId="0" borderId="0" xfId="6" applyNumberFormat="1" applyFont="1" applyFill="1"/>
    <xf numFmtId="251" fontId="86" fillId="0" borderId="0" xfId="6" applyNumberFormat="1" applyFont="1" applyFill="1"/>
    <xf numFmtId="0" fontId="127" fillId="0" borderId="0" xfId="0" applyFont="1" applyBorder="1" applyAlignment="1">
      <alignment horizontal="center"/>
    </xf>
    <xf numFmtId="38" fontId="111" fillId="0" borderId="0" xfId="0" applyNumberFormat="1" applyFont="1" applyBorder="1"/>
    <xf numFmtId="0" fontId="117" fillId="0" borderId="8" xfId="0" applyFont="1" applyBorder="1"/>
    <xf numFmtId="38" fontId="117" fillId="0" borderId="0" xfId="0" applyNumberFormat="1" applyFont="1" applyBorder="1"/>
    <xf numFmtId="38" fontId="127" fillId="0" borderId="0" xfId="0" applyNumberFormat="1" applyFont="1" applyBorder="1"/>
    <xf numFmtId="14" fontId="98" fillId="0" borderId="0" xfId="0" applyNumberFormat="1" applyFont="1"/>
    <xf numFmtId="37" fontId="130" fillId="0" borderId="0" xfId="22" applyFont="1" applyAlignment="1">
      <alignment horizontal="left"/>
    </xf>
    <xf numFmtId="39" fontId="86" fillId="0" borderId="0" xfId="22" applyNumberFormat="1" applyFont="1" applyAlignment="1"/>
    <xf numFmtId="203" fontId="86" fillId="0" borderId="0" xfId="5" applyNumberFormat="1" applyFont="1" applyBorder="1" applyProtection="1"/>
    <xf numFmtId="0" fontId="86" fillId="0" borderId="0" xfId="0" applyFont="1" applyBorder="1" applyProtection="1"/>
    <xf numFmtId="41" fontId="108" fillId="0" borderId="0" xfId="0" applyNumberFormat="1" applyFont="1" applyBorder="1" applyProtection="1"/>
    <xf numFmtId="41" fontId="86" fillId="0" borderId="0" xfId="0" applyNumberFormat="1" applyFont="1" applyBorder="1" applyProtection="1"/>
    <xf numFmtId="206" fontId="86" fillId="0" borderId="0" xfId="3" applyNumberFormat="1" applyFont="1" applyBorder="1" applyProtection="1"/>
    <xf numFmtId="1" fontId="86" fillId="0" borderId="0" xfId="0" applyNumberFormat="1" applyFont="1" applyBorder="1"/>
    <xf numFmtId="41" fontId="108" fillId="0" borderId="0" xfId="0" applyNumberFormat="1" applyFont="1" applyBorder="1"/>
    <xf numFmtId="37" fontId="86" fillId="0" borderId="0" xfId="0" applyNumberFormat="1" applyFont="1" applyBorder="1" applyProtection="1"/>
    <xf numFmtId="10" fontId="106" fillId="0" borderId="0" xfId="0" applyNumberFormat="1" applyFont="1" applyBorder="1"/>
    <xf numFmtId="41" fontId="86" fillId="0" borderId="0" xfId="0" applyNumberFormat="1" applyFont="1" applyBorder="1"/>
    <xf numFmtId="0" fontId="86" fillId="0" borderId="0" xfId="0" applyFont="1" applyBorder="1" applyAlignment="1" applyProtection="1">
      <alignment horizontal="left"/>
    </xf>
    <xf numFmtId="10" fontId="106" fillId="0" borderId="0" xfId="24" applyNumberFormat="1" applyFont="1" applyBorder="1"/>
    <xf numFmtId="203" fontId="86" fillId="0" borderId="0" xfId="0" applyNumberFormat="1" applyFont="1" applyBorder="1" applyProtection="1"/>
    <xf numFmtId="206" fontId="86" fillId="0" borderId="0" xfId="3" applyNumberFormat="1" applyFont="1" applyBorder="1"/>
    <xf numFmtId="0" fontId="107" fillId="0" borderId="0" xfId="0" applyFont="1" applyBorder="1" applyProtection="1">
      <protection locked="0"/>
    </xf>
    <xf numFmtId="206" fontId="86" fillId="0" borderId="0" xfId="3" quotePrefix="1" applyNumberFormat="1" applyFont="1" applyProtection="1"/>
    <xf numFmtId="38" fontId="86" fillId="0" borderId="0" xfId="0" applyNumberFormat="1" applyFont="1"/>
    <xf numFmtId="0" fontId="86" fillId="0" borderId="0" xfId="0" applyFont="1" applyBorder="1" applyAlignment="1" applyProtection="1">
      <alignment horizontal="right"/>
    </xf>
    <xf numFmtId="37" fontId="86" fillId="0" borderId="0" xfId="0" applyNumberFormat="1" applyFont="1" applyBorder="1"/>
    <xf numFmtId="0" fontId="133" fillId="0" borderId="0" xfId="0" applyFont="1" applyBorder="1" applyProtection="1"/>
    <xf numFmtId="206" fontId="108" fillId="0" borderId="0" xfId="3" applyNumberFormat="1" applyFont="1" applyBorder="1" applyProtection="1"/>
    <xf numFmtId="0" fontId="98" fillId="0" borderId="0" xfId="0" applyFont="1" applyBorder="1"/>
    <xf numFmtId="6" fontId="86" fillId="0" borderId="0" xfId="0" applyNumberFormat="1" applyFont="1"/>
    <xf numFmtId="43" fontId="86" fillId="0" borderId="0" xfId="3" applyFont="1"/>
    <xf numFmtId="41" fontId="86" fillId="0" borderId="0" xfId="0" applyNumberFormat="1" applyFont="1"/>
    <xf numFmtId="206" fontId="86" fillId="0" borderId="0" xfId="0" applyNumberFormat="1" applyFont="1"/>
    <xf numFmtId="6" fontId="58" fillId="0" borderId="0" xfId="0" applyNumberFormat="1" applyFont="1"/>
    <xf numFmtId="171" fontId="86" fillId="0" borderId="0" xfId="24" applyNumberFormat="1" applyFont="1"/>
    <xf numFmtId="203" fontId="86" fillId="0" borderId="0" xfId="5" applyNumberFormat="1" applyFont="1" applyBorder="1"/>
    <xf numFmtId="43" fontId="86" fillId="0" borderId="0" xfId="3" applyNumberFormat="1" applyFont="1"/>
    <xf numFmtId="7" fontId="58" fillId="0" borderId="0" xfId="0" applyNumberFormat="1" applyFont="1"/>
    <xf numFmtId="7" fontId="86" fillId="0" borderId="0" xfId="3" applyNumberFormat="1" applyFont="1" applyBorder="1"/>
    <xf numFmtId="0" fontId="130" fillId="0" borderId="0" xfId="0" applyFont="1" applyBorder="1"/>
    <xf numFmtId="40" fontId="86" fillId="0" borderId="0" xfId="4" applyFont="1" applyFill="1"/>
    <xf numFmtId="7" fontId="86" fillId="0" borderId="0" xfId="3" applyNumberFormat="1" applyFont="1" applyBorder="1" applyAlignment="1">
      <alignment horizontal="right"/>
    </xf>
    <xf numFmtId="7" fontId="107" fillId="0" borderId="0" xfId="3" applyNumberFormat="1" applyFont="1" applyBorder="1" applyAlignment="1">
      <alignment horizontal="right"/>
    </xf>
    <xf numFmtId="43" fontId="107" fillId="0" borderId="0" xfId="3" applyFont="1" applyBorder="1" applyAlignment="1">
      <alignment horizontal="right"/>
    </xf>
    <xf numFmtId="43" fontId="86" fillId="0" borderId="0" xfId="3" applyFont="1" applyFill="1" applyBorder="1" applyAlignment="1">
      <alignment horizontal="right"/>
    </xf>
    <xf numFmtId="7" fontId="107" fillId="0" borderId="0" xfId="3" applyNumberFormat="1" applyFont="1" applyBorder="1"/>
    <xf numFmtId="9" fontId="86" fillId="0" borderId="0" xfId="3" applyNumberFormat="1" applyFont="1" applyBorder="1" applyAlignment="1">
      <alignment horizontal="right"/>
    </xf>
    <xf numFmtId="8" fontId="86" fillId="0" borderId="0" xfId="4" applyNumberFormat="1" applyFont="1" applyFill="1"/>
    <xf numFmtId="275" fontId="86" fillId="0" borderId="0" xfId="4" applyNumberFormat="1" applyFont="1" applyFill="1"/>
    <xf numFmtId="275" fontId="106" fillId="0" borderId="0" xfId="4" applyNumberFormat="1" applyFont="1" applyFill="1"/>
    <xf numFmtId="203" fontId="86" fillId="0" borderId="27" xfId="0" applyNumberFormat="1" applyFont="1" applyBorder="1"/>
    <xf numFmtId="203" fontId="86" fillId="0" borderId="15" xfId="0" applyNumberFormat="1" applyFont="1" applyBorder="1"/>
    <xf numFmtId="203" fontId="106" fillId="0" borderId="15" xfId="0" applyNumberFormat="1" applyFont="1" applyBorder="1"/>
    <xf numFmtId="203" fontId="86" fillId="0" borderId="16" xfId="0" applyNumberFormat="1" applyFont="1" applyBorder="1"/>
    <xf numFmtId="37" fontId="86" fillId="0" borderId="27" xfId="22" applyFont="1" applyBorder="1" applyAlignment="1"/>
    <xf numFmtId="37" fontId="86" fillId="0" borderId="16" xfId="22" applyFont="1" applyBorder="1" applyAlignment="1"/>
    <xf numFmtId="43" fontId="86" fillId="0" borderId="27" xfId="0" applyNumberFormat="1" applyFont="1" applyBorder="1"/>
    <xf numFmtId="44" fontId="86" fillId="0" borderId="0" xfId="5" applyFont="1"/>
    <xf numFmtId="43" fontId="106" fillId="0" borderId="15" xfId="0" applyNumberFormat="1" applyFont="1" applyBorder="1"/>
    <xf numFmtId="43" fontId="108" fillId="0" borderId="0" xfId="3" applyNumberFormat="1" applyFont="1"/>
    <xf numFmtId="43" fontId="86" fillId="0" borderId="15" xfId="0" applyNumberFormat="1" applyFont="1" applyBorder="1"/>
    <xf numFmtId="0" fontId="86" fillId="0" borderId="15" xfId="0" applyFont="1" applyBorder="1"/>
    <xf numFmtId="40" fontId="86" fillId="0" borderId="0" xfId="0" applyNumberFormat="1" applyFont="1"/>
    <xf numFmtId="43" fontId="86" fillId="0" borderId="16" xfId="0" applyNumberFormat="1" applyFont="1" applyBorder="1"/>
    <xf numFmtId="44" fontId="86" fillId="0" borderId="0" xfId="5" applyNumberFormat="1" applyFont="1"/>
    <xf numFmtId="7" fontId="86" fillId="0" borderId="27" xfId="0" applyNumberFormat="1" applyFont="1" applyBorder="1"/>
    <xf numFmtId="44" fontId="86" fillId="0" borderId="0" xfId="5" applyFont="1" applyFill="1" applyBorder="1"/>
    <xf numFmtId="7" fontId="86" fillId="0" borderId="15" xfId="0" applyNumberFormat="1" applyFont="1" applyBorder="1"/>
    <xf numFmtId="7" fontId="86" fillId="0" borderId="16" xfId="0" applyNumberFormat="1" applyFont="1" applyBorder="1"/>
    <xf numFmtId="7" fontId="134" fillId="0" borderId="0" xfId="3" applyNumberFormat="1" applyFont="1" applyBorder="1"/>
    <xf numFmtId="44" fontId="86" fillId="0" borderId="0" xfId="3" applyNumberFormat="1" applyFont="1" applyBorder="1"/>
    <xf numFmtId="171" fontId="107" fillId="8" borderId="0" xfId="24" applyNumberFormat="1" applyFont="1" applyFill="1"/>
    <xf numFmtId="38" fontId="107" fillId="0" borderId="0" xfId="0" applyNumberFormat="1" applyFont="1"/>
    <xf numFmtId="171" fontId="106" fillId="0" borderId="0" xfId="24" applyNumberFormat="1" applyFont="1"/>
    <xf numFmtId="37" fontId="106" fillId="0" borderId="0" xfId="22" applyFont="1" applyFill="1" applyAlignment="1"/>
    <xf numFmtId="0" fontId="86" fillId="0" borderId="0" xfId="0" applyFont="1" applyFill="1"/>
    <xf numFmtId="0" fontId="86" fillId="0" borderId="0" xfId="0" applyFont="1" applyFill="1" applyBorder="1"/>
    <xf numFmtId="8" fontId="107" fillId="0" borderId="0" xfId="6" applyFont="1" applyFill="1"/>
    <xf numFmtId="10" fontId="86" fillId="0" borderId="0" xfId="24" applyNumberFormat="1" applyFont="1" applyFill="1"/>
    <xf numFmtId="8" fontId="86" fillId="0" borderId="0" xfId="6" applyFont="1" applyFill="1"/>
    <xf numFmtId="208" fontId="58" fillId="0" borderId="0" xfId="0" applyNumberFormat="1" applyFont="1"/>
    <xf numFmtId="43" fontId="86" fillId="0" borderId="0" xfId="0" applyNumberFormat="1" applyFont="1"/>
    <xf numFmtId="1" fontId="102" fillId="0" borderId="0" xfId="0" applyNumberFormat="1" applyFont="1" applyAlignment="1" applyProtection="1">
      <alignment horizontal="center"/>
    </xf>
    <xf numFmtId="203" fontId="58" fillId="0" borderId="0" xfId="5" applyNumberFormat="1" applyFont="1" applyFill="1"/>
    <xf numFmtId="0" fontId="58" fillId="0" borderId="0" xfId="0" applyFont="1" applyFill="1"/>
    <xf numFmtId="43" fontId="58" fillId="0" borderId="0" xfId="3" applyFont="1" applyFill="1"/>
    <xf numFmtId="10" fontId="58" fillId="0" borderId="0" xfId="24" applyNumberFormat="1" applyFont="1" applyFill="1"/>
    <xf numFmtId="206" fontId="58" fillId="0" borderId="0" xfId="3" applyNumberFormat="1" applyFont="1" applyFill="1"/>
    <xf numFmtId="206" fontId="58" fillId="0" borderId="0" xfId="0" applyNumberFormat="1" applyFont="1" applyFill="1"/>
    <xf numFmtId="206" fontId="58" fillId="0" borderId="0" xfId="0" applyNumberFormat="1" applyFont="1"/>
    <xf numFmtId="43" fontId="58" fillId="0" borderId="0" xfId="3" applyNumberFormat="1" applyFont="1"/>
    <xf numFmtId="43" fontId="58" fillId="0" borderId="0" xfId="0" applyNumberFormat="1" applyFont="1" applyFill="1"/>
    <xf numFmtId="210" fontId="58" fillId="0" borderId="0" xfId="3" applyNumberFormat="1" applyFont="1"/>
    <xf numFmtId="43" fontId="58" fillId="0" borderId="0" xfId="0" applyNumberFormat="1" applyFont="1"/>
    <xf numFmtId="43" fontId="58" fillId="0" borderId="0" xfId="3" applyFont="1"/>
    <xf numFmtId="0" fontId="138" fillId="0" borderId="0" xfId="0" applyFont="1"/>
    <xf numFmtId="37" fontId="139" fillId="0" borderId="0" xfId="22" applyFont="1" applyAlignment="1"/>
    <xf numFmtId="39" fontId="99" fillId="0" borderId="0" xfId="22" applyNumberFormat="1" applyFont="1" applyFill="1" applyAlignment="1"/>
    <xf numFmtId="176" fontId="86" fillId="0" borderId="0" xfId="22" applyNumberFormat="1" applyFont="1" applyFill="1" applyAlignment="1"/>
    <xf numFmtId="0" fontId="101" fillId="0" borderId="0" xfId="0" applyFont="1"/>
    <xf numFmtId="0" fontId="109" fillId="0" borderId="8" xfId="0" applyFont="1" applyBorder="1"/>
    <xf numFmtId="0" fontId="117" fillId="0" borderId="0" xfId="0" applyFont="1" applyBorder="1" applyAlignment="1">
      <alignment horizontal="center"/>
    </xf>
    <xf numFmtId="38" fontId="112" fillId="0" borderId="0" xfId="0" applyNumberFormat="1" applyFont="1" applyBorder="1" applyAlignment="1">
      <alignment horizontal="center"/>
    </xf>
    <xf numFmtId="206" fontId="123" fillId="0" borderId="0" xfId="3" applyNumberFormat="1" applyFont="1" applyFill="1" applyBorder="1"/>
    <xf numFmtId="197" fontId="117" fillId="0" borderId="0" xfId="0" applyNumberFormat="1" applyFont="1" applyBorder="1"/>
    <xf numFmtId="0" fontId="140" fillId="0" borderId="8" xfId="0" applyFont="1" applyBorder="1" applyAlignment="1" applyProtection="1">
      <alignment horizontal="left"/>
    </xf>
    <xf numFmtId="206" fontId="107" fillId="0" borderId="20" xfId="3" applyNumberFormat="1" applyFont="1" applyBorder="1" applyProtection="1"/>
    <xf numFmtId="206" fontId="107" fillId="0" borderId="19" xfId="3" applyNumberFormat="1" applyFont="1" applyBorder="1" applyProtection="1"/>
    <xf numFmtId="206" fontId="107" fillId="0" borderId="17" xfId="3" applyNumberFormat="1" applyFont="1" applyBorder="1" applyProtection="1"/>
    <xf numFmtId="38" fontId="86" fillId="0" borderId="0" xfId="5" applyNumberFormat="1" applyFont="1" applyBorder="1" applyProtection="1"/>
    <xf numFmtId="10" fontId="123" fillId="11" borderId="0" xfId="0" quotePrefix="1" applyNumberFormat="1" applyFont="1" applyFill="1" applyBorder="1" applyAlignment="1" applyProtection="1">
      <alignment horizontal="right"/>
      <protection locked="0"/>
    </xf>
    <xf numFmtId="10" fontId="112" fillId="11" borderId="0" xfId="0" applyNumberFormat="1" applyFont="1" applyFill="1" applyBorder="1" applyProtection="1">
      <protection locked="0"/>
    </xf>
    <xf numFmtId="10" fontId="112" fillId="11" borderId="4" xfId="0" applyNumberFormat="1" applyFont="1" applyFill="1" applyBorder="1" applyProtection="1">
      <protection locked="0"/>
    </xf>
    <xf numFmtId="41" fontId="98" fillId="0" borderId="0" xfId="0" applyNumberFormat="1" applyFont="1" applyBorder="1"/>
    <xf numFmtId="41" fontId="106" fillId="0" borderId="0" xfId="0" applyNumberFormat="1" applyFont="1" applyBorder="1"/>
    <xf numFmtId="0" fontId="98" fillId="0" borderId="20" xfId="0" applyFont="1" applyBorder="1" applyAlignment="1" applyProtection="1">
      <alignment horizontal="left"/>
    </xf>
    <xf numFmtId="0" fontId="86" fillId="0" borderId="19" xfId="0" applyFont="1" applyBorder="1"/>
    <xf numFmtId="41" fontId="98" fillId="0" borderId="19" xfId="0" applyNumberFormat="1" applyFont="1" applyBorder="1"/>
    <xf numFmtId="41" fontId="98" fillId="0" borderId="17" xfId="0" applyNumberFormat="1" applyFont="1" applyBorder="1"/>
    <xf numFmtId="206" fontId="98" fillId="0" borderId="0" xfId="3" applyNumberFormat="1" applyFont="1" applyBorder="1" applyProtection="1"/>
    <xf numFmtId="41" fontId="98" fillId="0" borderId="0" xfId="0" applyNumberFormat="1" applyFont="1" applyBorder="1" applyProtection="1"/>
    <xf numFmtId="0" fontId="98" fillId="0" borderId="20" xfId="0" applyFont="1" applyBorder="1"/>
    <xf numFmtId="37" fontId="98" fillId="0" borderId="19" xfId="22" applyFont="1" applyBorder="1" applyAlignment="1"/>
    <xf numFmtId="206" fontId="98" fillId="0" borderId="19" xfId="3" quotePrefix="1" applyNumberFormat="1" applyFont="1" applyBorder="1" applyProtection="1"/>
    <xf numFmtId="206" fontId="98" fillId="0" borderId="17" xfId="3" quotePrefix="1" applyNumberFormat="1" applyFont="1" applyBorder="1" applyProtection="1"/>
    <xf numFmtId="174" fontId="137" fillId="0" borderId="0" xfId="24" applyNumberFormat="1" applyFont="1"/>
    <xf numFmtId="174" fontId="86" fillId="0" borderId="0" xfId="0" applyNumberFormat="1" applyFont="1"/>
    <xf numFmtId="0" fontId="113" fillId="0" borderId="8" xfId="0" applyFont="1" applyBorder="1" applyAlignment="1" applyProtection="1">
      <alignment horizontal="left"/>
    </xf>
    <xf numFmtId="5" fontId="111" fillId="0" borderId="9" xfId="0" applyNumberFormat="1" applyFont="1" applyBorder="1" applyProtection="1"/>
    <xf numFmtId="0" fontId="113" fillId="4" borderId="6" xfId="0" applyFont="1" applyFill="1" applyBorder="1" applyAlignment="1" applyProtection="1">
      <alignment horizontal="left"/>
    </xf>
    <xf numFmtId="0" fontId="111" fillId="4" borderId="7" xfId="0" applyFont="1" applyFill="1" applyBorder="1"/>
    <xf numFmtId="0" fontId="111" fillId="4" borderId="18" xfId="0" applyFont="1" applyFill="1" applyBorder="1"/>
    <xf numFmtId="9" fontId="114" fillId="0" borderId="9" xfId="24" applyFont="1" applyBorder="1"/>
    <xf numFmtId="9" fontId="114" fillId="4" borderId="18" xfId="24" applyFont="1" applyFill="1" applyBorder="1"/>
    <xf numFmtId="0" fontId="111" fillId="4" borderId="18" xfId="0" applyFont="1" applyFill="1" applyBorder="1" applyProtection="1"/>
    <xf numFmtId="166" fontId="111" fillId="4" borderId="7" xfId="0" applyNumberFormat="1" applyFont="1" applyFill="1" applyBorder="1" applyProtection="1"/>
    <xf numFmtId="2" fontId="112" fillId="4" borderId="18" xfId="0" applyNumberFormat="1" applyFont="1" applyFill="1" applyBorder="1" applyProtection="1"/>
    <xf numFmtId="0" fontId="119" fillId="0" borderId="0" xfId="0" applyFont="1" applyBorder="1"/>
    <xf numFmtId="9" fontId="129" fillId="0" borderId="9" xfId="24" applyFont="1" applyBorder="1" applyAlignment="1">
      <alignment horizontal="center"/>
    </xf>
    <xf numFmtId="0" fontId="113" fillId="4" borderId="6" xfId="0" applyFont="1" applyFill="1" applyBorder="1"/>
    <xf numFmtId="0" fontId="130" fillId="4" borderId="6" xfId="0" applyFont="1" applyFill="1" applyBorder="1"/>
    <xf numFmtId="38" fontId="17" fillId="4" borderId="18" xfId="0" applyNumberFormat="1" applyFont="1" applyFill="1" applyBorder="1"/>
    <xf numFmtId="0" fontId="115" fillId="4" borderId="7" xfId="0" applyFont="1" applyFill="1" applyBorder="1"/>
    <xf numFmtId="0" fontId="17" fillId="4" borderId="18" xfId="0" applyFont="1" applyFill="1" applyBorder="1" applyAlignment="1">
      <alignment horizontal="center"/>
    </xf>
    <xf numFmtId="7" fontId="115" fillId="4" borderId="7" xfId="3" applyNumberFormat="1" applyFont="1" applyFill="1" applyBorder="1" applyProtection="1">
      <protection locked="0"/>
    </xf>
    <xf numFmtId="0" fontId="118" fillId="0" borderId="8" xfId="0" applyFont="1" applyBorder="1" applyAlignment="1" applyProtection="1">
      <alignment horizontal="left"/>
    </xf>
    <xf numFmtId="10" fontId="112" fillId="0" borderId="0" xfId="0" applyNumberFormat="1" applyFont="1" applyBorder="1"/>
    <xf numFmtId="0" fontId="115" fillId="0" borderId="4" xfId="0" applyFont="1" applyBorder="1"/>
    <xf numFmtId="10" fontId="112" fillId="0" borderId="4" xfId="24" applyNumberFormat="1" applyFont="1" applyBorder="1"/>
    <xf numFmtId="0" fontId="143" fillId="4" borderId="6" xfId="0" applyFont="1" applyFill="1" applyBorder="1"/>
    <xf numFmtId="0" fontId="58" fillId="4" borderId="7" xfId="0" applyFont="1" applyFill="1" applyBorder="1"/>
    <xf numFmtId="10" fontId="112" fillId="4" borderId="7" xfId="24" applyNumberFormat="1" applyFont="1" applyFill="1" applyBorder="1"/>
    <xf numFmtId="10" fontId="111" fillId="4" borderId="7" xfId="24" applyNumberFormat="1" applyFont="1" applyFill="1" applyBorder="1"/>
    <xf numFmtId="0" fontId="112" fillId="4" borderId="7" xfId="0" applyFont="1" applyFill="1" applyBorder="1" applyAlignment="1">
      <alignment horizontal="right"/>
    </xf>
    <xf numFmtId="0" fontId="17" fillId="4" borderId="18" xfId="0" applyFont="1" applyFill="1" applyBorder="1"/>
    <xf numFmtId="206" fontId="112" fillId="11" borderId="9" xfId="3" applyNumberFormat="1" applyFont="1" applyFill="1" applyBorder="1" applyProtection="1">
      <protection locked="0"/>
    </xf>
    <xf numFmtId="206" fontId="112" fillId="11" borderId="9" xfId="3" applyNumberFormat="1" applyFont="1" applyFill="1" applyBorder="1" applyAlignment="1">
      <alignment horizontal="right"/>
    </xf>
    <xf numFmtId="206" fontId="112" fillId="11" borderId="0" xfId="3" applyNumberFormat="1" applyFont="1" applyFill="1" applyBorder="1"/>
    <xf numFmtId="203" fontId="112" fillId="11" borderId="0" xfId="5" applyNumberFormat="1" applyFont="1" applyFill="1" applyBorder="1"/>
    <xf numFmtId="203" fontId="112" fillId="11" borderId="4" xfId="5" applyNumberFormat="1" applyFont="1" applyFill="1" applyBorder="1"/>
    <xf numFmtId="203" fontId="124" fillId="11" borderId="0" xfId="5" applyNumberFormat="1" applyFont="1" applyFill="1" applyBorder="1"/>
    <xf numFmtId="203" fontId="112" fillId="11" borderId="0" xfId="5" applyNumberFormat="1" applyFont="1" applyFill="1" applyBorder="1" applyProtection="1">
      <protection locked="0"/>
    </xf>
    <xf numFmtId="167" fontId="117" fillId="0" borderId="0" xfId="0" applyNumberFormat="1" applyFont="1" applyProtection="1"/>
    <xf numFmtId="205" fontId="86" fillId="0" borderId="0" xfId="0" applyNumberFormat="1" applyFont="1"/>
    <xf numFmtId="1" fontId="86" fillId="0" borderId="0" xfId="0" applyNumberFormat="1" applyFont="1"/>
    <xf numFmtId="37" fontId="117" fillId="0" borderId="9" xfId="0" applyNumberFormat="1" applyFont="1" applyBorder="1" applyProtection="1"/>
    <xf numFmtId="10" fontId="111" fillId="0" borderId="9" xfId="24" applyNumberFormat="1" applyFont="1" applyBorder="1"/>
    <xf numFmtId="42" fontId="100" fillId="0" borderId="9" xfId="0" applyNumberFormat="1" applyFont="1" applyBorder="1"/>
    <xf numFmtId="0" fontId="98" fillId="0" borderId="3" xfId="0" applyFont="1" applyBorder="1" applyAlignment="1">
      <alignment horizontal="center"/>
    </xf>
    <xf numFmtId="38" fontId="86" fillId="0" borderId="3" xfId="0" applyNumberFormat="1" applyFont="1" applyBorder="1"/>
    <xf numFmtId="38" fontId="99" fillId="0" borderId="6" xfId="0" applyNumberFormat="1" applyFont="1" applyBorder="1"/>
    <xf numFmtId="38" fontId="99" fillId="0" borderId="7" xfId="0" applyNumberFormat="1" applyFont="1" applyBorder="1"/>
    <xf numFmtId="38" fontId="99" fillId="0" borderId="18" xfId="0" applyNumberFormat="1" applyFont="1" applyBorder="1"/>
    <xf numFmtId="38" fontId="58" fillId="0" borderId="8" xfId="0" applyNumberFormat="1" applyFont="1" applyBorder="1"/>
    <xf numFmtId="38" fontId="58" fillId="0" borderId="0" xfId="0" applyNumberFormat="1" applyFont="1" applyBorder="1"/>
    <xf numFmtId="38" fontId="58" fillId="0" borderId="9" xfId="0" applyNumberFormat="1" applyFont="1" applyBorder="1"/>
    <xf numFmtId="38" fontId="58" fillId="0" borderId="10" xfId="0" applyNumberFormat="1" applyFont="1" applyBorder="1"/>
    <xf numFmtId="38" fontId="58" fillId="0" borderId="4" xfId="0" applyNumberFormat="1" applyFont="1" applyBorder="1"/>
    <xf numFmtId="38" fontId="58" fillId="0" borderId="11" xfId="0" applyNumberFormat="1" applyFont="1" applyBorder="1"/>
    <xf numFmtId="0" fontId="99" fillId="0" borderId="0" xfId="0" applyFont="1" applyAlignment="1">
      <alignment vertical="top" wrapText="1"/>
    </xf>
    <xf numFmtId="0" fontId="109" fillId="0" borderId="0" xfId="0" applyFont="1" applyBorder="1" applyAlignment="1">
      <alignment horizontal="center"/>
    </xf>
    <xf numFmtId="1" fontId="109" fillId="0" borderId="0" xfId="24" applyNumberFormat="1" applyFont="1" applyBorder="1" applyAlignment="1">
      <alignment horizontal="center"/>
    </xf>
    <xf numFmtId="206" fontId="129" fillId="0" borderId="9" xfId="3" applyNumberFormat="1" applyFont="1" applyBorder="1" applyProtection="1">
      <protection locked="0"/>
    </xf>
    <xf numFmtId="203" fontId="112" fillId="0" borderId="9" xfId="0" applyNumberFormat="1" applyFont="1" applyFill="1" applyBorder="1" applyAlignment="1">
      <alignment horizontal="right"/>
    </xf>
    <xf numFmtId="6" fontId="111" fillId="0" borderId="4" xfId="24" applyNumberFormat="1" applyFont="1" applyBorder="1" applyAlignment="1" applyProtection="1">
      <alignment horizontal="center"/>
    </xf>
    <xf numFmtId="6" fontId="111" fillId="0" borderId="11" xfId="24" applyNumberFormat="1" applyFont="1" applyBorder="1" applyAlignment="1" applyProtection="1">
      <alignment horizontal="center"/>
    </xf>
    <xf numFmtId="206" fontId="129" fillId="11" borderId="9" xfId="3" applyNumberFormat="1" applyFont="1" applyFill="1" applyBorder="1" applyProtection="1"/>
    <xf numFmtId="206" fontId="129" fillId="11" borderId="9" xfId="3" applyNumberFormat="1" applyFont="1" applyFill="1" applyBorder="1"/>
    <xf numFmtId="206" fontId="144" fillId="11" borderId="9" xfId="3" applyNumberFormat="1" applyFont="1" applyFill="1" applyBorder="1"/>
    <xf numFmtId="0" fontId="137" fillId="12" borderId="6" xfId="0" applyFont="1" applyFill="1" applyBorder="1"/>
    <xf numFmtId="0" fontId="137" fillId="12" borderId="7" xfId="0" applyFont="1" applyFill="1" applyBorder="1"/>
    <xf numFmtId="0" fontId="145" fillId="12" borderId="7" xfId="0" applyFont="1" applyFill="1" applyBorder="1"/>
    <xf numFmtId="0" fontId="137" fillId="12" borderId="18" xfId="0" applyFont="1" applyFill="1" applyBorder="1"/>
    <xf numFmtId="38" fontId="100" fillId="12" borderId="3" xfId="0" applyNumberFormat="1" applyFont="1" applyFill="1" applyBorder="1" applyAlignment="1">
      <alignment horizontal="center"/>
    </xf>
    <xf numFmtId="0" fontId="137" fillId="12" borderId="0" xfId="0" applyFont="1" applyFill="1" applyBorder="1"/>
    <xf numFmtId="0" fontId="137" fillId="12" borderId="9" xfId="0" applyFont="1" applyFill="1" applyBorder="1"/>
    <xf numFmtId="0" fontId="137" fillId="12" borderId="8" xfId="0" applyFont="1" applyFill="1" applyBorder="1"/>
    <xf numFmtId="38" fontId="137" fillId="12" borderId="0" xfId="0" applyNumberFormat="1" applyFont="1" applyFill="1" applyBorder="1"/>
    <xf numFmtId="38" fontId="137" fillId="12" borderId="9" xfId="0" applyNumberFormat="1" applyFont="1" applyFill="1" applyBorder="1"/>
    <xf numFmtId="0" fontId="137" fillId="12" borderId="10" xfId="0" applyFont="1" applyFill="1" applyBorder="1"/>
    <xf numFmtId="0" fontId="137" fillId="12" borderId="4" xfId="0" applyFont="1" applyFill="1" applyBorder="1"/>
    <xf numFmtId="38" fontId="137" fillId="12" borderId="4" xfId="0" applyNumberFormat="1" applyFont="1" applyFill="1" applyBorder="1"/>
    <xf numFmtId="38" fontId="137" fillId="12" borderId="11" xfId="0" applyNumberFormat="1" applyFont="1" applyFill="1" applyBorder="1"/>
    <xf numFmtId="0" fontId="28" fillId="0" borderId="7" xfId="23" applyFont="1" applyBorder="1"/>
    <xf numFmtId="0" fontId="25" fillId="0" borderId="4" xfId="23" applyFont="1" applyBorder="1"/>
    <xf numFmtId="0" fontId="28" fillId="0" borderId="13" xfId="23" applyFont="1" applyBorder="1"/>
    <xf numFmtId="171" fontId="25" fillId="0" borderId="15" xfId="24" applyNumberFormat="1" applyFont="1" applyBorder="1" applyAlignment="1">
      <alignment horizontal="center"/>
    </xf>
    <xf numFmtId="171" fontId="0" fillId="0" borderId="0" xfId="0" applyNumberFormat="1"/>
    <xf numFmtId="38" fontId="0" fillId="0" borderId="0" xfId="0" applyNumberFormat="1"/>
    <xf numFmtId="5" fontId="146" fillId="0" borderId="0" xfId="23" applyNumberFormat="1" applyFont="1" applyBorder="1"/>
    <xf numFmtId="5" fontId="94" fillId="0" borderId="18" xfId="23" applyNumberFormat="1" applyFont="1" applyBorder="1"/>
    <xf numFmtId="5" fontId="94" fillId="0" borderId="9" xfId="23" applyNumberFormat="1" applyFont="1" applyBorder="1"/>
    <xf numFmtId="0" fontId="0" fillId="0" borderId="0" xfId="0" applyBorder="1"/>
    <xf numFmtId="37" fontId="1" fillId="0" borderId="0" xfId="0" applyNumberFormat="1" applyFont="1"/>
    <xf numFmtId="203" fontId="35" fillId="0" borderId="0" xfId="5" applyNumberFormat="1" applyFont="1" applyFill="1"/>
    <xf numFmtId="203" fontId="35" fillId="8" borderId="0" xfId="5" applyNumberFormat="1" applyFont="1" applyFill="1"/>
    <xf numFmtId="203" fontId="147" fillId="0" borderId="0" xfId="5" applyNumberFormat="1" applyFont="1" applyFill="1"/>
    <xf numFmtId="10" fontId="148" fillId="0" borderId="0" xfId="24" applyNumberFormat="1" applyFont="1"/>
    <xf numFmtId="0" fontId="58" fillId="0" borderId="7" xfId="0" applyFont="1" applyBorder="1"/>
    <xf numFmtId="0" fontId="58" fillId="0" borderId="18" xfId="0" applyFont="1" applyBorder="1"/>
    <xf numFmtId="0" fontId="58" fillId="0" borderId="4" xfId="0" applyFont="1" applyBorder="1"/>
    <xf numFmtId="0" fontId="58" fillId="0" borderId="11" xfId="0" applyFont="1" applyBorder="1"/>
    <xf numFmtId="9" fontId="101" fillId="2" borderId="6" xfId="24" applyFont="1" applyFill="1" applyBorder="1" applyAlignment="1">
      <alignment horizontal="left"/>
    </xf>
    <xf numFmtId="0" fontId="58" fillId="2" borderId="7" xfId="0" applyFont="1" applyFill="1" applyBorder="1"/>
    <xf numFmtId="0" fontId="58" fillId="2" borderId="18" xfId="0" applyFont="1" applyFill="1" applyBorder="1"/>
    <xf numFmtId="0" fontId="99" fillId="2" borderId="10" xfId="0" applyFont="1" applyFill="1" applyBorder="1"/>
    <xf numFmtId="0" fontId="58" fillId="2" borderId="4" xfId="0" applyFont="1" applyFill="1" applyBorder="1"/>
    <xf numFmtId="0" fontId="58" fillId="2" borderId="11" xfId="0" applyFont="1" applyFill="1" applyBorder="1"/>
    <xf numFmtId="0" fontId="86" fillId="0" borderId="6" xfId="0" applyFont="1" applyBorder="1"/>
    <xf numFmtId="0" fontId="86" fillId="0" borderId="7" xfId="0" applyFont="1" applyBorder="1"/>
    <xf numFmtId="37" fontId="86" fillId="0" borderId="7" xfId="22" applyFont="1" applyBorder="1" applyAlignment="1"/>
    <xf numFmtId="37" fontId="86" fillId="0" borderId="18" xfId="22" applyFont="1" applyBorder="1" applyAlignment="1"/>
    <xf numFmtId="37" fontId="98" fillId="0" borderId="8" xfId="22" applyFont="1" applyBorder="1" applyAlignment="1"/>
    <xf numFmtId="37" fontId="98" fillId="0" borderId="0" xfId="22" applyFont="1" applyBorder="1" applyAlignment="1"/>
    <xf numFmtId="37" fontId="86" fillId="0" borderId="0" xfId="22" applyFont="1" applyBorder="1" applyAlignment="1"/>
    <xf numFmtId="37" fontId="99" fillId="0" borderId="8" xfId="22" applyFont="1" applyBorder="1" applyAlignment="1">
      <alignment horizontal="left"/>
    </xf>
    <xf numFmtId="37" fontId="58" fillId="0" borderId="0" xfId="22" applyFont="1" applyBorder="1" applyAlignment="1">
      <alignment horizontal="left"/>
    </xf>
    <xf numFmtId="37" fontId="58" fillId="0" borderId="0" xfId="22" applyFont="1" applyBorder="1" applyAlignment="1"/>
    <xf numFmtId="203" fontId="58" fillId="0" borderId="0" xfId="5" applyNumberFormat="1" applyFont="1" applyFill="1" applyBorder="1"/>
    <xf numFmtId="203" fontId="58" fillId="0" borderId="9" xfId="5" applyNumberFormat="1" applyFont="1" applyFill="1" applyBorder="1"/>
    <xf numFmtId="37" fontId="86" fillId="0" borderId="8" xfId="22" applyFont="1" applyBorder="1" applyAlignment="1">
      <alignment horizontal="left"/>
    </xf>
    <xf numFmtId="176" fontId="86" fillId="0" borderId="0" xfId="22" applyNumberFormat="1" applyFont="1" applyBorder="1" applyAlignment="1"/>
    <xf numFmtId="37" fontId="86" fillId="0" borderId="0" xfId="22" applyFont="1" applyFill="1" applyBorder="1" applyAlignment="1"/>
    <xf numFmtId="37" fontId="86" fillId="0" borderId="9" xfId="22" applyFont="1" applyFill="1" applyBorder="1" applyAlignment="1"/>
    <xf numFmtId="0" fontId="58" fillId="0" borderId="8" xfId="0" applyFont="1" applyFill="1" applyBorder="1"/>
    <xf numFmtId="0" fontId="58" fillId="0" borderId="0" xfId="0" applyFont="1" applyFill="1" applyBorder="1"/>
    <xf numFmtId="43" fontId="58" fillId="0" borderId="0" xfId="3" applyFont="1" applyFill="1" applyBorder="1"/>
    <xf numFmtId="43" fontId="58" fillId="0" borderId="9" xfId="3" applyFont="1" applyFill="1" applyBorder="1"/>
    <xf numFmtId="10" fontId="58" fillId="0" borderId="0" xfId="24" applyNumberFormat="1" applyFont="1" applyFill="1" applyBorder="1"/>
    <xf numFmtId="10" fontId="58" fillId="0" borderId="9" xfId="24" applyNumberFormat="1" applyFont="1" applyFill="1" applyBorder="1"/>
    <xf numFmtId="206" fontId="58" fillId="0" borderId="0" xfId="3" applyNumberFormat="1" applyFont="1" applyFill="1" applyBorder="1"/>
    <xf numFmtId="206" fontId="58" fillId="0" borderId="9" xfId="3" applyNumberFormat="1" applyFont="1" applyFill="1" applyBorder="1"/>
    <xf numFmtId="0" fontId="99" fillId="0" borderId="8" xfId="0" applyFont="1" applyFill="1" applyBorder="1"/>
    <xf numFmtId="2" fontId="58" fillId="0" borderId="0" xfId="0" applyNumberFormat="1" applyFont="1" applyFill="1" applyBorder="1"/>
    <xf numFmtId="14" fontId="102" fillId="0" borderId="0" xfId="0" applyNumberFormat="1" applyFont="1" applyBorder="1" applyProtection="1"/>
    <xf numFmtId="203" fontId="58" fillId="0" borderId="0" xfId="5" applyNumberFormat="1" applyFont="1" applyBorder="1"/>
    <xf numFmtId="206" fontId="136" fillId="0" borderId="0" xfId="3" applyNumberFormat="1" applyFont="1" applyFill="1" applyBorder="1"/>
    <xf numFmtId="0" fontId="99" fillId="0" borderId="10" xfId="0" applyFont="1" applyFill="1" applyBorder="1"/>
    <xf numFmtId="203" fontId="99" fillId="0" borderId="4" xfId="5" applyNumberFormat="1" applyFont="1" applyFill="1" applyBorder="1"/>
    <xf numFmtId="206" fontId="99" fillId="0" borderId="4" xfId="3" applyNumberFormat="1" applyFont="1" applyFill="1" applyBorder="1"/>
    <xf numFmtId="0" fontId="58" fillId="0" borderId="4" xfId="0" applyFont="1" applyFill="1" applyBorder="1"/>
    <xf numFmtId="206" fontId="58" fillId="0" borderId="4" xfId="0" applyNumberFormat="1" applyFont="1" applyFill="1" applyBorder="1"/>
    <xf numFmtId="206" fontId="58" fillId="0" borderId="11" xfId="0" applyNumberFormat="1" applyFont="1" applyFill="1" applyBorder="1"/>
    <xf numFmtId="38" fontId="137" fillId="0" borderId="7" xfId="0" applyNumberFormat="1" applyFont="1" applyBorder="1"/>
    <xf numFmtId="206" fontId="58" fillId="0" borderId="7" xfId="3" applyNumberFormat="1" applyFont="1" applyBorder="1"/>
    <xf numFmtId="206" fontId="58" fillId="0" borderId="18" xfId="3" applyNumberFormat="1" applyFont="1" applyBorder="1"/>
    <xf numFmtId="0" fontId="58" fillId="0" borderId="8" xfId="0" applyFont="1" applyBorder="1"/>
    <xf numFmtId="43" fontId="137" fillId="0" borderId="0" xfId="3" applyFont="1" applyBorder="1"/>
    <xf numFmtId="10" fontId="137" fillId="0" borderId="0" xfId="24" applyNumberFormat="1" applyFont="1" applyBorder="1"/>
    <xf numFmtId="206" fontId="58" fillId="0" borderId="0" xfId="3" applyNumberFormat="1" applyFont="1" applyBorder="1"/>
    <xf numFmtId="206" fontId="58" fillId="0" borderId="9" xfId="3" applyNumberFormat="1" applyFont="1" applyBorder="1"/>
    <xf numFmtId="0" fontId="58" fillId="0" borderId="10" xfId="0" applyFont="1" applyBorder="1"/>
    <xf numFmtId="43" fontId="58" fillId="0" borderId="4" xfId="3" applyNumberFormat="1" applyFont="1" applyBorder="1"/>
    <xf numFmtId="206" fontId="58" fillId="0" borderId="4" xfId="3" applyNumberFormat="1" applyFont="1" applyBorder="1"/>
    <xf numFmtId="206" fontId="58" fillId="0" borderId="11" xfId="3" applyNumberFormat="1" applyFont="1" applyBorder="1"/>
    <xf numFmtId="9" fontId="137" fillId="0" borderId="0" xfId="24" applyNumberFormat="1" applyFont="1" applyBorder="1"/>
    <xf numFmtId="10" fontId="86" fillId="0" borderId="0" xfId="24" applyNumberFormat="1" applyFont="1" applyFill="1" applyBorder="1"/>
    <xf numFmtId="0" fontId="58" fillId="0" borderId="10" xfId="0" applyFont="1" applyFill="1" applyBorder="1"/>
    <xf numFmtId="10" fontId="86" fillId="0" borderId="4" xfId="24" applyNumberFormat="1" applyFont="1" applyFill="1" applyBorder="1"/>
    <xf numFmtId="43" fontId="58" fillId="0" borderId="4" xfId="0" applyNumberFormat="1" applyFont="1" applyFill="1" applyBorder="1"/>
    <xf numFmtId="38" fontId="137" fillId="0" borderId="7" xfId="0" applyNumberFormat="1" applyFont="1" applyFill="1" applyBorder="1"/>
    <xf numFmtId="206" fontId="58" fillId="0" borderId="7" xfId="3" applyNumberFormat="1" applyFont="1" applyFill="1" applyBorder="1"/>
    <xf numFmtId="0" fontId="58" fillId="0" borderId="7" xfId="0" applyFont="1" applyFill="1" applyBorder="1"/>
    <xf numFmtId="209" fontId="58" fillId="0" borderId="7" xfId="3" applyNumberFormat="1" applyFont="1" applyFill="1" applyBorder="1"/>
    <xf numFmtId="206" fontId="58" fillId="0" borderId="18" xfId="3" applyNumberFormat="1" applyFont="1" applyFill="1" applyBorder="1"/>
    <xf numFmtId="43" fontId="137" fillId="0" borderId="0" xfId="3" applyFont="1" applyFill="1" applyBorder="1"/>
    <xf numFmtId="10" fontId="137" fillId="0" borderId="0" xfId="24" applyNumberFormat="1" applyFont="1" applyFill="1" applyBorder="1"/>
    <xf numFmtId="9" fontId="58" fillId="0" borderId="0" xfId="24" applyNumberFormat="1" applyFont="1" applyBorder="1"/>
    <xf numFmtId="206" fontId="58" fillId="0" borderId="0" xfId="0" applyNumberFormat="1" applyFont="1" applyFill="1" applyBorder="1"/>
    <xf numFmtId="206" fontId="58" fillId="0" borderId="9" xfId="0" applyNumberFormat="1" applyFont="1" applyFill="1" applyBorder="1"/>
    <xf numFmtId="0" fontId="99" fillId="0" borderId="23" xfId="0" applyFont="1" applyBorder="1"/>
    <xf numFmtId="0" fontId="58" fillId="0" borderId="25" xfId="0" applyFont="1" applyFill="1" applyBorder="1"/>
    <xf numFmtId="206" fontId="58" fillId="0" borderId="25" xfId="3" applyNumberFormat="1" applyFont="1" applyFill="1" applyBorder="1"/>
    <xf numFmtId="206" fontId="58" fillId="0" borderId="24" xfId="3" applyNumberFormat="1" applyFont="1" applyFill="1" applyBorder="1"/>
    <xf numFmtId="0" fontId="58" fillId="0" borderId="28" xfId="0" applyFont="1" applyFill="1" applyBorder="1"/>
    <xf numFmtId="203" fontId="58" fillId="0" borderId="29" xfId="5" applyNumberFormat="1" applyFont="1" applyFill="1" applyBorder="1"/>
    <xf numFmtId="206" fontId="58" fillId="0" borderId="29" xfId="3" applyNumberFormat="1" applyFont="1" applyFill="1" applyBorder="1"/>
    <xf numFmtId="38" fontId="137" fillId="0" borderId="0" xfId="0" applyNumberFormat="1" applyFont="1" applyFill="1" applyBorder="1"/>
    <xf numFmtId="43" fontId="58" fillId="0" borderId="0" xfId="3" applyNumberFormat="1" applyFont="1" applyFill="1" applyBorder="1"/>
    <xf numFmtId="0" fontId="58" fillId="0" borderId="28" xfId="0" applyFont="1" applyBorder="1"/>
    <xf numFmtId="10" fontId="58" fillId="0" borderId="0" xfId="24" applyNumberFormat="1" applyFont="1" applyBorder="1"/>
    <xf numFmtId="43" fontId="58" fillId="0" borderId="0" xfId="0" applyNumberFormat="1" applyFont="1" applyBorder="1"/>
    <xf numFmtId="43" fontId="58" fillId="0" borderId="29" xfId="0" applyNumberFormat="1" applyFont="1" applyBorder="1"/>
    <xf numFmtId="206" fontId="58" fillId="0" borderId="0" xfId="0" applyNumberFormat="1" applyFont="1" applyBorder="1"/>
    <xf numFmtId="206" fontId="58" fillId="0" borderId="29" xfId="0" applyNumberFormat="1" applyFont="1" applyBorder="1"/>
    <xf numFmtId="0" fontId="58" fillId="0" borderId="30" xfId="0" applyFont="1" applyBorder="1"/>
    <xf numFmtId="10" fontId="58" fillId="0" borderId="21" xfId="24" applyNumberFormat="1" applyFont="1" applyBorder="1"/>
    <xf numFmtId="0" fontId="58" fillId="0" borderId="21" xfId="0" applyFont="1" applyBorder="1"/>
    <xf numFmtId="43" fontId="58" fillId="0" borderId="21" xfId="3" applyFont="1" applyBorder="1"/>
    <xf numFmtId="43" fontId="58" fillId="0" borderId="22" xfId="3" applyFont="1" applyBorder="1"/>
    <xf numFmtId="203" fontId="35" fillId="0" borderId="0" xfId="5" applyNumberFormat="1" applyFont="1" applyFill="1" applyBorder="1"/>
    <xf numFmtId="203" fontId="35" fillId="8" borderId="0" xfId="5" applyNumberFormat="1" applyFont="1" applyFill="1" applyBorder="1"/>
    <xf numFmtId="1" fontId="102" fillId="2" borderId="0" xfId="0" applyNumberFormat="1" applyFont="1" applyFill="1" applyBorder="1" applyAlignment="1" applyProtection="1">
      <alignment horizontal="center"/>
    </xf>
    <xf numFmtId="1" fontId="102" fillId="2" borderId="9" xfId="0" applyNumberFormat="1" applyFont="1" applyFill="1" applyBorder="1" applyAlignment="1" applyProtection="1">
      <alignment horizontal="center"/>
    </xf>
    <xf numFmtId="0" fontId="99" fillId="2" borderId="6" xfId="0" applyFont="1" applyFill="1" applyBorder="1"/>
    <xf numFmtId="40" fontId="86" fillId="0" borderId="4" xfId="4" applyFont="1" applyFill="1" applyBorder="1"/>
    <xf numFmtId="40" fontId="86" fillId="2" borderId="4" xfId="4" applyFont="1" applyFill="1" applyBorder="1"/>
    <xf numFmtId="0" fontId="99" fillId="0" borderId="0" xfId="0" applyFont="1" applyFill="1" applyBorder="1"/>
    <xf numFmtId="40" fontId="86" fillId="0" borderId="0" xfId="4" applyFont="1" applyFill="1" applyBorder="1"/>
    <xf numFmtId="205" fontId="107" fillId="0" borderId="18" xfId="3" applyNumberFormat="1" applyFont="1" applyFill="1" applyBorder="1"/>
    <xf numFmtId="9" fontId="86" fillId="0" borderId="4" xfId="24" applyFont="1" applyBorder="1"/>
    <xf numFmtId="9" fontId="86" fillId="0" borderId="11" xfId="24" applyFont="1" applyBorder="1"/>
    <xf numFmtId="37" fontId="86" fillId="2" borderId="7" xfId="22" applyFont="1" applyFill="1" applyBorder="1" applyAlignment="1"/>
    <xf numFmtId="205" fontId="107" fillId="2" borderId="18" xfId="3" applyNumberFormat="1" applyFont="1" applyFill="1" applyBorder="1"/>
    <xf numFmtId="9" fontId="86" fillId="2" borderId="4" xfId="24" applyFont="1" applyFill="1" applyBorder="1"/>
    <xf numFmtId="9" fontId="86" fillId="2" borderId="11" xfId="24" applyFont="1" applyFill="1" applyBorder="1"/>
    <xf numFmtId="0" fontId="86" fillId="0" borderId="18" xfId="0" applyFont="1" applyBorder="1"/>
    <xf numFmtId="0" fontId="86" fillId="0" borderId="4" xfId="0" applyFont="1" applyBorder="1"/>
    <xf numFmtId="0" fontId="86" fillId="2" borderId="7" xfId="0" applyFont="1" applyFill="1" applyBorder="1"/>
    <xf numFmtId="0" fontId="86" fillId="2" borderId="18" xfId="0" applyFont="1" applyFill="1" applyBorder="1"/>
    <xf numFmtId="0" fontId="86" fillId="2" borderId="4" xfId="0" applyFont="1" applyFill="1" applyBorder="1"/>
    <xf numFmtId="0" fontId="86" fillId="2" borderId="11" xfId="0" applyFont="1" applyFill="1" applyBorder="1"/>
    <xf numFmtId="9" fontId="130" fillId="2" borderId="7" xfId="24" applyFont="1" applyFill="1" applyBorder="1" applyAlignment="1">
      <alignment horizontal="left"/>
    </xf>
    <xf numFmtId="37" fontId="86" fillId="2" borderId="11" xfId="22" applyFont="1" applyFill="1" applyBorder="1" applyAlignment="1"/>
    <xf numFmtId="37" fontId="104" fillId="2" borderId="7" xfId="22" applyFont="1" applyFill="1" applyBorder="1" applyAlignment="1">
      <alignment horizontal="right"/>
    </xf>
    <xf numFmtId="41" fontId="86" fillId="2" borderId="18" xfId="6" applyNumberFormat="1" applyFont="1" applyFill="1" applyBorder="1"/>
    <xf numFmtId="37" fontId="86" fillId="2" borderId="4" xfId="22" applyFont="1" applyFill="1" applyBorder="1" applyAlignment="1"/>
    <xf numFmtId="9" fontId="33" fillId="2" borderId="6" xfId="24" applyFont="1" applyFill="1" applyBorder="1" applyAlignment="1">
      <alignment horizontal="left"/>
    </xf>
    <xf numFmtId="9" fontId="33" fillId="2" borderId="7" xfId="24" applyFont="1" applyFill="1" applyBorder="1" applyAlignment="1">
      <alignment horizontal="left"/>
    </xf>
    <xf numFmtId="0" fontId="0" fillId="2" borderId="7" xfId="0" applyFill="1" applyBorder="1"/>
    <xf numFmtId="0" fontId="24" fillId="2" borderId="18" xfId="23" applyFont="1" applyFill="1" applyBorder="1"/>
    <xf numFmtId="0" fontId="1" fillId="2" borderId="10" xfId="0" applyFont="1" applyFill="1" applyBorder="1"/>
    <xf numFmtId="0" fontId="1" fillId="2" borderId="4" xfId="0" applyFont="1" applyFill="1" applyBorder="1"/>
    <xf numFmtId="0" fontId="24" fillId="2" borderId="4" xfId="23" applyFont="1" applyFill="1" applyBorder="1"/>
    <xf numFmtId="0" fontId="24" fillId="2" borderId="11" xfId="23" applyFont="1" applyFill="1" applyBorder="1"/>
    <xf numFmtId="0" fontId="58" fillId="2" borderId="10" xfId="0" applyFont="1" applyFill="1" applyBorder="1"/>
    <xf numFmtId="0" fontId="58" fillId="0" borderId="6" xfId="0" applyFont="1" applyBorder="1"/>
    <xf numFmtId="167" fontId="102" fillId="2" borderId="7" xfId="0" applyNumberFormat="1" applyFont="1" applyFill="1" applyBorder="1" applyProtection="1"/>
    <xf numFmtId="167" fontId="102" fillId="2" borderId="18" xfId="0" applyNumberFormat="1" applyFont="1" applyFill="1" applyBorder="1" applyProtection="1"/>
    <xf numFmtId="205" fontId="86" fillId="0" borderId="0" xfId="3" applyNumberFormat="1" applyFont="1" applyFill="1" applyBorder="1"/>
    <xf numFmtId="172" fontId="86" fillId="0" borderId="0" xfId="22" applyNumberFormat="1" applyFont="1" applyBorder="1" applyAlignment="1"/>
    <xf numFmtId="172" fontId="107" fillId="0" borderId="0" xfId="22" applyNumberFormat="1" applyFont="1" applyBorder="1" applyAlignment="1"/>
    <xf numFmtId="172" fontId="86" fillId="0" borderId="9" xfId="22" applyNumberFormat="1" applyFont="1" applyBorder="1" applyAlignment="1"/>
    <xf numFmtId="37" fontId="99" fillId="0" borderId="8" xfId="22" applyFont="1" applyBorder="1" applyAlignment="1"/>
    <xf numFmtId="9" fontId="86" fillId="0" borderId="0" xfId="24" applyFont="1" applyBorder="1" applyAlignment="1">
      <alignment horizontal="center"/>
    </xf>
    <xf numFmtId="9" fontId="86" fillId="0" borderId="9" xfId="24" applyFont="1" applyBorder="1" applyAlignment="1">
      <alignment horizontal="center"/>
    </xf>
    <xf numFmtId="37" fontId="99" fillId="0" borderId="10" xfId="22" applyFont="1" applyBorder="1" applyAlignment="1"/>
    <xf numFmtId="7" fontId="86" fillId="0" borderId="4" xfId="0" applyNumberFormat="1" applyFont="1" applyBorder="1"/>
    <xf numFmtId="172" fontId="86" fillId="0" borderId="4" xfId="22" applyNumberFormat="1" applyFont="1" applyBorder="1" applyAlignment="1">
      <alignment horizontal="center"/>
    </xf>
    <xf numFmtId="172" fontId="86" fillId="0" borderId="11" xfId="22" applyNumberFormat="1" applyFont="1" applyBorder="1" applyAlignment="1">
      <alignment horizontal="center"/>
    </xf>
    <xf numFmtId="7" fontId="86" fillId="0" borderId="7" xfId="3" applyNumberFormat="1" applyFont="1" applyBorder="1" applyAlignment="1">
      <alignment horizontal="right"/>
    </xf>
    <xf numFmtId="7" fontId="86" fillId="0" borderId="18" xfId="3" applyNumberFormat="1" applyFont="1" applyBorder="1" applyAlignment="1">
      <alignment horizontal="right"/>
    </xf>
    <xf numFmtId="7" fontId="86" fillId="0" borderId="9" xfId="3" applyNumberFormat="1" applyFont="1" applyBorder="1" applyAlignment="1">
      <alignment horizontal="right"/>
    </xf>
    <xf numFmtId="6" fontId="86" fillId="0" borderId="0" xfId="0" applyNumberFormat="1" applyFont="1" applyBorder="1"/>
    <xf numFmtId="43" fontId="86" fillId="0" borderId="9" xfId="3" applyFont="1" applyFill="1" applyBorder="1" applyAlignment="1">
      <alignment horizontal="right"/>
    </xf>
    <xf numFmtId="10" fontId="86" fillId="0" borderId="0" xfId="0" applyNumberFormat="1" applyFont="1" applyBorder="1"/>
    <xf numFmtId="7" fontId="86" fillId="0" borderId="9" xfId="3" applyNumberFormat="1" applyFont="1" applyBorder="1"/>
    <xf numFmtId="0" fontId="86" fillId="0" borderId="8" xfId="0" applyFont="1" applyBorder="1"/>
    <xf numFmtId="9" fontId="86" fillId="0" borderId="9" xfId="3" applyNumberFormat="1" applyFont="1" applyBorder="1" applyAlignment="1">
      <alignment horizontal="right"/>
    </xf>
    <xf numFmtId="0" fontId="113" fillId="0" borderId="8" xfId="0" applyFont="1" applyBorder="1"/>
    <xf numFmtId="0" fontId="86" fillId="0" borderId="9" xfId="0" applyFont="1" applyBorder="1"/>
    <xf numFmtId="8" fontId="86" fillId="0" borderId="0" xfId="4" applyNumberFormat="1" applyFont="1" applyFill="1" applyBorder="1"/>
    <xf numFmtId="8" fontId="86" fillId="0" borderId="9" xfId="4" applyNumberFormat="1" applyFont="1" applyFill="1" applyBorder="1"/>
    <xf numFmtId="37" fontId="86" fillId="0" borderId="8" xfId="22" applyFont="1" applyFill="1" applyBorder="1" applyAlignment="1"/>
    <xf numFmtId="275" fontId="86" fillId="0" borderId="0" xfId="4" applyNumberFormat="1" applyFont="1" applyFill="1" applyBorder="1"/>
    <xf numFmtId="275" fontId="106" fillId="0" borderId="0" xfId="4" applyNumberFormat="1" applyFont="1" applyFill="1" applyBorder="1"/>
    <xf numFmtId="37" fontId="86" fillId="0" borderId="10" xfId="22" applyFont="1" applyBorder="1" applyAlignment="1">
      <alignment horizontal="left"/>
    </xf>
    <xf numFmtId="37" fontId="86" fillId="0" borderId="4" xfId="22" applyFont="1" applyFill="1" applyBorder="1" applyAlignment="1"/>
    <xf numFmtId="275" fontId="86" fillId="0" borderId="4" xfId="4" applyNumberFormat="1" applyFont="1" applyFill="1" applyBorder="1"/>
    <xf numFmtId="275" fontId="86" fillId="0" borderId="11" xfId="4" applyNumberFormat="1" applyFont="1" applyFill="1" applyBorder="1"/>
    <xf numFmtId="0" fontId="113" fillId="0" borderId="6" xfId="0" applyFont="1" applyBorder="1"/>
    <xf numFmtId="0" fontId="98" fillId="0" borderId="7" xfId="0" applyFont="1" applyBorder="1"/>
    <xf numFmtId="0" fontId="98" fillId="0" borderId="18" xfId="0" applyFont="1" applyBorder="1"/>
    <xf numFmtId="0" fontId="98" fillId="0" borderId="8" xfId="0" applyFont="1" applyBorder="1"/>
    <xf numFmtId="0" fontId="98" fillId="0" borderId="9" xfId="0" applyFont="1" applyBorder="1"/>
    <xf numFmtId="203" fontId="86" fillId="0" borderId="0" xfId="5" applyNumberFormat="1" applyFont="1" applyFill="1" applyBorder="1"/>
    <xf numFmtId="203" fontId="86" fillId="0" borderId="9" xfId="5" applyNumberFormat="1" applyFont="1" applyFill="1" applyBorder="1"/>
    <xf numFmtId="41" fontId="86" fillId="0" borderId="0" xfId="6" applyNumberFormat="1" applyFont="1" applyFill="1" applyBorder="1"/>
    <xf numFmtId="41" fontId="86" fillId="0" borderId="9" xfId="6" applyNumberFormat="1" applyFont="1" applyFill="1" applyBorder="1"/>
    <xf numFmtId="41" fontId="108" fillId="0" borderId="0" xfId="6" applyNumberFormat="1" applyFont="1" applyFill="1" applyBorder="1"/>
    <xf numFmtId="41" fontId="108" fillId="0" borderId="9" xfId="6" applyNumberFormat="1" applyFont="1" applyFill="1" applyBorder="1"/>
    <xf numFmtId="0" fontId="102" fillId="0" borderId="8" xfId="0" applyFont="1" applyBorder="1"/>
    <xf numFmtId="37" fontId="86" fillId="0" borderId="9" xfId="22" applyFont="1" applyBorder="1" applyAlignment="1"/>
    <xf numFmtId="206" fontId="86" fillId="0" borderId="0" xfId="6" applyNumberFormat="1" applyFont="1" applyFill="1" applyBorder="1"/>
    <xf numFmtId="206" fontId="86" fillId="0" borderId="9" xfId="6" applyNumberFormat="1" applyFont="1" applyFill="1" applyBorder="1"/>
    <xf numFmtId="0" fontId="58" fillId="0" borderId="9" xfId="0" applyFont="1" applyBorder="1"/>
    <xf numFmtId="44" fontId="86" fillId="0" borderId="0" xfId="5" applyFont="1" applyBorder="1"/>
    <xf numFmtId="44" fontId="86" fillId="0" borderId="9" xfId="5" applyFont="1" applyBorder="1"/>
    <xf numFmtId="43" fontId="108" fillId="0" borderId="0" xfId="3" applyNumberFormat="1" applyFont="1" applyBorder="1"/>
    <xf numFmtId="43" fontId="108" fillId="0" borderId="9" xfId="3" applyNumberFormat="1" applyFont="1" applyBorder="1"/>
    <xf numFmtId="38" fontId="86" fillId="0" borderId="0" xfId="0" applyNumberFormat="1" applyFont="1" applyBorder="1"/>
    <xf numFmtId="38" fontId="86" fillId="0" borderId="9" xfId="0" applyNumberFormat="1" applyFont="1" applyBorder="1"/>
    <xf numFmtId="0" fontId="86" fillId="0" borderId="10" xfId="0" applyFont="1" applyBorder="1"/>
    <xf numFmtId="44" fontId="86" fillId="0" borderId="4" xfId="5" applyNumberFormat="1" applyFont="1" applyBorder="1"/>
    <xf numFmtId="44" fontId="86" fillId="0" borderId="4" xfId="5" applyFont="1" applyBorder="1"/>
    <xf numFmtId="44" fontId="86" fillId="0" borderId="11" xfId="5" applyFont="1" applyBorder="1"/>
    <xf numFmtId="10" fontId="58" fillId="0" borderId="7" xfId="24" applyNumberFormat="1" applyFont="1" applyBorder="1"/>
    <xf numFmtId="10" fontId="58" fillId="0" borderId="18" xfId="24" applyNumberFormat="1" applyFont="1" applyBorder="1"/>
    <xf numFmtId="7" fontId="86" fillId="0" borderId="8" xfId="0" applyNumberFormat="1" applyFont="1" applyBorder="1"/>
    <xf numFmtId="44" fontId="86" fillId="0" borderId="9" xfId="5" applyFont="1" applyFill="1" applyBorder="1"/>
    <xf numFmtId="0" fontId="107" fillId="0" borderId="8" xfId="0" applyFont="1" applyBorder="1"/>
    <xf numFmtId="7" fontId="134" fillId="0" borderId="9" xfId="3" applyNumberFormat="1" applyFont="1" applyBorder="1"/>
    <xf numFmtId="44" fontId="86" fillId="0" borderId="9" xfId="3" applyNumberFormat="1" applyFont="1" applyBorder="1"/>
    <xf numFmtId="171" fontId="86" fillId="0" borderId="0" xfId="22" applyNumberFormat="1" applyFont="1" applyFill="1" applyBorder="1" applyAlignment="1"/>
    <xf numFmtId="39" fontId="86" fillId="0" borderId="0" xfId="22" applyNumberFormat="1" applyFont="1" applyFill="1" applyBorder="1" applyAlignment="1"/>
    <xf numFmtId="40" fontId="86" fillId="0" borderId="9" xfId="4" applyFont="1" applyFill="1" applyBorder="1"/>
    <xf numFmtId="40" fontId="107" fillId="0" borderId="0" xfId="4" applyFont="1" applyFill="1" applyBorder="1"/>
    <xf numFmtId="37" fontId="107" fillId="0" borderId="8" xfId="22" applyFont="1" applyBorder="1" applyAlignment="1">
      <alignment horizontal="left"/>
    </xf>
    <xf numFmtId="37" fontId="98" fillId="0" borderId="6" xfId="22" applyFont="1" applyBorder="1" applyAlignment="1"/>
    <xf numFmtId="167" fontId="102" fillId="0" borderId="7" xfId="0" applyNumberFormat="1" applyFont="1" applyBorder="1" applyProtection="1"/>
    <xf numFmtId="167" fontId="102" fillId="0" borderId="18" xfId="0" applyNumberFormat="1" applyFont="1" applyBorder="1" applyProtection="1"/>
    <xf numFmtId="171" fontId="107" fillId="8" borderId="0" xfId="24" applyNumberFormat="1" applyFont="1" applyFill="1" applyBorder="1"/>
    <xf numFmtId="171" fontId="107" fillId="8" borderId="9" xfId="24" applyNumberFormat="1" applyFont="1" applyFill="1" applyBorder="1"/>
    <xf numFmtId="37" fontId="86" fillId="0" borderId="4" xfId="22" applyFont="1" applyBorder="1" applyAlignment="1"/>
    <xf numFmtId="41" fontId="86" fillId="0" borderId="4" xfId="6" applyNumberFormat="1" applyFont="1" applyFill="1" applyBorder="1"/>
    <xf numFmtId="203" fontId="86" fillId="0" borderId="7" xfId="5" applyNumberFormat="1" applyFont="1" applyFill="1" applyBorder="1"/>
    <xf numFmtId="203" fontId="86" fillId="0" borderId="18" xfId="5" applyNumberFormat="1" applyFont="1" applyFill="1" applyBorder="1"/>
    <xf numFmtId="171" fontId="86" fillId="0" borderId="0" xfId="24" applyNumberFormat="1" applyFont="1" applyBorder="1"/>
    <xf numFmtId="171" fontId="86" fillId="0" borderId="9" xfId="24" applyNumberFormat="1" applyFont="1" applyBorder="1"/>
    <xf numFmtId="171" fontId="106" fillId="0" borderId="0" xfId="24" applyNumberFormat="1" applyFont="1" applyBorder="1"/>
    <xf numFmtId="171" fontId="106" fillId="0" borderId="9" xfId="24" applyNumberFormat="1" applyFont="1" applyBorder="1"/>
    <xf numFmtId="37" fontId="106" fillId="0" borderId="0" xfId="22" applyFont="1" applyFill="1" applyBorder="1" applyAlignment="1"/>
    <xf numFmtId="37" fontId="106" fillId="0" borderId="9" xfId="22" applyFont="1" applyFill="1" applyBorder="1" applyAlignment="1"/>
    <xf numFmtId="6" fontId="86" fillId="0" borderId="0" xfId="5" applyNumberFormat="1" applyFont="1" applyFill="1" applyBorder="1"/>
    <xf numFmtId="6" fontId="86" fillId="0" borderId="9" xfId="5" applyNumberFormat="1" applyFont="1" applyFill="1" applyBorder="1"/>
    <xf numFmtId="6" fontId="86" fillId="0" borderId="4" xfId="3" applyNumberFormat="1" applyFont="1" applyBorder="1"/>
    <xf numFmtId="6" fontId="86" fillId="0" borderId="11" xfId="3" applyNumberFormat="1" applyFont="1" applyBorder="1"/>
    <xf numFmtId="6" fontId="86" fillId="0" borderId="0" xfId="3" applyNumberFormat="1" applyFont="1" applyBorder="1"/>
    <xf numFmtId="8" fontId="107" fillId="12" borderId="0" xfId="6" applyFont="1" applyFill="1" applyBorder="1"/>
    <xf numFmtId="8" fontId="107" fillId="12" borderId="9" xfId="6" applyFont="1" applyFill="1" applyBorder="1"/>
    <xf numFmtId="8" fontId="107" fillId="0" borderId="0" xfId="6" applyFont="1" applyFill="1" applyBorder="1"/>
    <xf numFmtId="8" fontId="107" fillId="0" borderId="9" xfId="6" applyFont="1" applyFill="1" applyBorder="1"/>
    <xf numFmtId="10" fontId="86" fillId="0" borderId="9" xfId="24" applyNumberFormat="1" applyFont="1" applyFill="1" applyBorder="1"/>
    <xf numFmtId="8" fontId="86" fillId="0" borderId="0" xfId="6" applyFont="1" applyFill="1" applyBorder="1"/>
    <xf numFmtId="8" fontId="86" fillId="0" borderId="9" xfId="6" applyFont="1" applyFill="1" applyBorder="1"/>
    <xf numFmtId="8" fontId="135" fillId="0" borderId="4" xfId="6" applyFont="1" applyFill="1" applyBorder="1"/>
    <xf numFmtId="8" fontId="107" fillId="0" borderId="11" xfId="6" applyFont="1" applyFill="1" applyBorder="1"/>
    <xf numFmtId="172" fontId="98" fillId="0" borderId="8" xfId="22" applyNumberFormat="1" applyFont="1" applyBorder="1" applyAlignment="1"/>
    <xf numFmtId="172" fontId="98" fillId="0" borderId="10" xfId="22" applyNumberFormat="1" applyFont="1" applyBorder="1" applyAlignment="1"/>
    <xf numFmtId="172" fontId="86" fillId="0" borderId="4" xfId="22" applyNumberFormat="1" applyFont="1" applyBorder="1" applyAlignment="1"/>
    <xf numFmtId="172" fontId="86" fillId="0" borderId="11" xfId="22" applyNumberFormat="1" applyFont="1" applyBorder="1" applyAlignment="1"/>
    <xf numFmtId="37" fontId="98" fillId="0" borderId="6" xfId="22" applyFont="1" applyBorder="1" applyAlignment="1">
      <alignment horizontal="left"/>
    </xf>
    <xf numFmtId="37" fontId="86" fillId="0" borderId="7" xfId="22" applyFont="1" applyFill="1" applyBorder="1" applyAlignment="1"/>
    <xf numFmtId="205" fontId="107" fillId="0" borderId="7" xfId="3" applyNumberFormat="1" applyFont="1" applyFill="1" applyBorder="1"/>
    <xf numFmtId="41" fontId="86" fillId="0" borderId="8" xfId="6" applyNumberFormat="1" applyFont="1" applyFill="1" applyBorder="1"/>
    <xf numFmtId="7" fontId="86" fillId="0" borderId="0" xfId="6" applyNumberFormat="1" applyFont="1" applyFill="1" applyBorder="1"/>
    <xf numFmtId="7" fontId="86" fillId="0" borderId="9" xfId="6" applyNumberFormat="1" applyFont="1" applyFill="1" applyBorder="1"/>
    <xf numFmtId="7" fontId="106" fillId="0" borderId="0" xfId="6" applyNumberFormat="1" applyFont="1" applyFill="1" applyBorder="1"/>
    <xf numFmtId="7" fontId="106" fillId="0" borderId="9" xfId="6" applyNumberFormat="1" applyFont="1" applyFill="1" applyBorder="1"/>
    <xf numFmtId="37" fontId="98" fillId="0" borderId="10" xfId="22" applyFont="1" applyBorder="1" applyAlignment="1">
      <alignment horizontal="left"/>
    </xf>
    <xf numFmtId="203" fontId="86" fillId="0" borderId="4" xfId="5" applyNumberFormat="1" applyFont="1" applyFill="1" applyBorder="1"/>
    <xf numFmtId="203" fontId="86" fillId="0" borderId="11" xfId="5" applyNumberFormat="1" applyFont="1" applyFill="1" applyBorder="1"/>
    <xf numFmtId="37" fontId="98" fillId="0" borderId="31" xfId="22" applyFont="1" applyBorder="1" applyAlignment="1">
      <alignment horizontal="left"/>
    </xf>
    <xf numFmtId="37" fontId="86" fillId="0" borderId="31" xfId="22" applyFont="1" applyBorder="1" applyAlignment="1"/>
    <xf numFmtId="203" fontId="86" fillId="0" borderId="31" xfId="5" applyNumberFormat="1" applyFont="1" applyFill="1" applyBorder="1"/>
    <xf numFmtId="41" fontId="86" fillId="0" borderId="7" xfId="6" applyNumberFormat="1" applyFont="1" applyFill="1" applyBorder="1"/>
    <xf numFmtId="41" fontId="86" fillId="0" borderId="18" xfId="6" applyNumberFormat="1" applyFont="1" applyFill="1" applyBorder="1"/>
    <xf numFmtId="203" fontId="106" fillId="0" borderId="0" xfId="5" applyNumberFormat="1" applyFont="1" applyFill="1" applyBorder="1"/>
    <xf numFmtId="203" fontId="106" fillId="0" borderId="9" xfId="5" applyNumberFormat="1" applyFont="1" applyFill="1" applyBorder="1"/>
    <xf numFmtId="37" fontId="98" fillId="0" borderId="8" xfId="22" applyFont="1" applyBorder="1" applyAlignment="1">
      <alignment horizontal="left"/>
    </xf>
    <xf numFmtId="206" fontId="106" fillId="13" borderId="0" xfId="6" applyNumberFormat="1" applyFont="1" applyFill="1" applyBorder="1"/>
    <xf numFmtId="41" fontId="106" fillId="0" borderId="0" xfId="6" applyNumberFormat="1" applyFont="1" applyFill="1" applyBorder="1"/>
    <xf numFmtId="41" fontId="106" fillId="0" borderId="9" xfId="6" applyNumberFormat="1" applyFont="1" applyFill="1" applyBorder="1"/>
    <xf numFmtId="203" fontId="108" fillId="0" borderId="0" xfId="5" applyNumberFormat="1" applyFont="1" applyFill="1" applyBorder="1"/>
    <xf numFmtId="203" fontId="108" fillId="0" borderId="9" xfId="5" applyNumberFormat="1" applyFont="1" applyFill="1" applyBorder="1"/>
    <xf numFmtId="203" fontId="108" fillId="0" borderId="31" xfId="5" applyNumberFormat="1" applyFont="1" applyFill="1" applyBorder="1"/>
    <xf numFmtId="37" fontId="86" fillId="0" borderId="8" xfId="22" applyFont="1" applyBorder="1" applyAlignment="1"/>
    <xf numFmtId="42" fontId="131" fillId="0" borderId="4" xfId="6" applyNumberFormat="1" applyFont="1" applyFill="1" applyBorder="1"/>
    <xf numFmtId="42" fontId="131" fillId="0" borderId="11" xfId="6" applyNumberFormat="1" applyFont="1" applyFill="1" applyBorder="1"/>
    <xf numFmtId="14" fontId="102" fillId="0" borderId="0" xfId="0" applyNumberFormat="1" applyFont="1" applyBorder="1"/>
    <xf numFmtId="14" fontId="102" fillId="0" borderId="9" xfId="0" applyNumberFormat="1" applyFont="1" applyBorder="1"/>
    <xf numFmtId="203" fontId="86" fillId="0" borderId="9" xfId="5" applyNumberFormat="1" applyFont="1" applyBorder="1"/>
    <xf numFmtId="9" fontId="86" fillId="0" borderId="0" xfId="0" applyNumberFormat="1" applyFont="1" applyBorder="1"/>
    <xf numFmtId="9" fontId="86" fillId="0" borderId="9" xfId="0" applyNumberFormat="1" applyFont="1" applyBorder="1"/>
    <xf numFmtId="42" fontId="86" fillId="0" borderId="0" xfId="0" applyNumberFormat="1" applyFont="1" applyBorder="1" applyProtection="1"/>
    <xf numFmtId="42" fontId="86" fillId="0" borderId="9" xfId="0" applyNumberFormat="1" applyFont="1" applyBorder="1" applyProtection="1"/>
    <xf numFmtId="9" fontId="86" fillId="0" borderId="0" xfId="24" applyFont="1" applyBorder="1"/>
    <xf numFmtId="6" fontId="58" fillId="0" borderId="0" xfId="0" applyNumberFormat="1" applyFont="1" applyBorder="1"/>
    <xf numFmtId="2" fontId="86" fillId="0" borderId="0" xfId="0" applyNumberFormat="1" applyFont="1" applyBorder="1" applyAlignment="1">
      <alignment horizontal="right"/>
    </xf>
    <xf numFmtId="2" fontId="86" fillId="0" borderId="9" xfId="0" applyNumberFormat="1" applyFont="1" applyBorder="1" applyAlignment="1">
      <alignment horizontal="right"/>
    </xf>
    <xf numFmtId="2" fontId="86" fillId="0" borderId="0" xfId="0" applyNumberFormat="1" applyFont="1" applyBorder="1"/>
    <xf numFmtId="2" fontId="86" fillId="0" borderId="9" xfId="0" applyNumberFormat="1" applyFont="1" applyBorder="1"/>
    <xf numFmtId="43" fontId="86" fillId="0" borderId="0" xfId="0" applyNumberFormat="1" applyFont="1" applyBorder="1" applyAlignment="1">
      <alignment horizontal="right"/>
    </xf>
    <xf numFmtId="43" fontId="86" fillId="0" borderId="9" xfId="0" applyNumberFormat="1" applyFont="1" applyBorder="1" applyAlignment="1">
      <alignment horizontal="right"/>
    </xf>
    <xf numFmtId="9" fontId="86" fillId="0" borderId="9" xfId="24" applyFont="1" applyBorder="1"/>
    <xf numFmtId="0" fontId="86" fillId="0" borderId="9" xfId="0" applyFont="1" applyBorder="1" applyAlignment="1" applyProtection="1">
      <alignment horizontal="right"/>
    </xf>
    <xf numFmtId="0" fontId="98" fillId="0" borderId="8" xfId="0" applyFont="1" applyBorder="1" applyAlignment="1" applyProtection="1">
      <alignment horizontal="left"/>
    </xf>
    <xf numFmtId="37" fontId="133" fillId="0" borderId="0" xfId="0" applyNumberFormat="1" applyFont="1" applyBorder="1"/>
    <xf numFmtId="0" fontId="86" fillId="0" borderId="8" xfId="0" applyFont="1" applyBorder="1" applyAlignment="1" applyProtection="1">
      <alignment horizontal="left"/>
    </xf>
    <xf numFmtId="41" fontId="86" fillId="0" borderId="9" xfId="0" applyNumberFormat="1" applyFont="1" applyBorder="1" applyProtection="1"/>
    <xf numFmtId="206" fontId="86" fillId="0" borderId="9" xfId="3" applyNumberFormat="1" applyFont="1" applyBorder="1" applyProtection="1"/>
    <xf numFmtId="37" fontId="86" fillId="0" borderId="9" xfId="0" applyNumberFormat="1" applyFont="1" applyBorder="1" applyProtection="1"/>
    <xf numFmtId="37" fontId="106" fillId="0" borderId="0" xfId="0" applyNumberFormat="1" applyFont="1" applyBorder="1" applyProtection="1"/>
    <xf numFmtId="37" fontId="106" fillId="0" borderId="9" xfId="0" applyNumberFormat="1" applyFont="1" applyBorder="1" applyProtection="1"/>
    <xf numFmtId="0" fontId="133" fillId="0" borderId="0" xfId="0" applyFont="1" applyBorder="1"/>
    <xf numFmtId="206" fontId="133" fillId="0" borderId="0" xfId="3" applyNumberFormat="1" applyFont="1" applyBorder="1"/>
    <xf numFmtId="206" fontId="108" fillId="0" borderId="9" xfId="3" applyNumberFormat="1" applyFont="1" applyBorder="1" applyProtection="1"/>
    <xf numFmtId="0" fontId="98" fillId="0" borderId="10" xfId="0" applyFont="1" applyBorder="1"/>
    <xf numFmtId="203" fontId="86" fillId="0" borderId="4" xfId="5" applyNumberFormat="1" applyFont="1" applyBorder="1"/>
    <xf numFmtId="203" fontId="133" fillId="0" borderId="4" xfId="5" applyNumberFormat="1" applyFont="1" applyBorder="1" applyProtection="1"/>
    <xf numFmtId="203" fontId="131" fillId="0" borderId="4" xfId="5" applyNumberFormat="1" applyFont="1" applyBorder="1" applyProtection="1"/>
    <xf numFmtId="203" fontId="131" fillId="0" borderId="11" xfId="5" applyNumberFormat="1" applyFont="1" applyBorder="1" applyProtection="1"/>
    <xf numFmtId="0" fontId="98" fillId="0" borderId="6" xfId="0" applyFont="1" applyBorder="1"/>
    <xf numFmtId="8" fontId="86" fillId="0" borderId="7" xfId="0" applyNumberFormat="1" applyFont="1" applyBorder="1"/>
    <xf numFmtId="8" fontId="86" fillId="0" borderId="0" xfId="0" applyNumberFormat="1" applyFont="1" applyBorder="1"/>
    <xf numFmtId="6" fontId="86" fillId="0" borderId="9" xfId="0" applyNumberFormat="1" applyFont="1" applyBorder="1"/>
    <xf numFmtId="6" fontId="86" fillId="0" borderId="0" xfId="24" applyNumberFormat="1" applyFont="1" applyBorder="1"/>
    <xf numFmtId="43" fontId="86" fillId="0" borderId="0" xfId="3" applyFont="1" applyBorder="1"/>
    <xf numFmtId="206" fontId="86" fillId="0" borderId="0" xfId="0" applyNumberFormat="1" applyFont="1" applyBorder="1"/>
    <xf numFmtId="206" fontId="86" fillId="0" borderId="9" xfId="0" applyNumberFormat="1" applyFont="1" applyBorder="1"/>
    <xf numFmtId="206" fontId="86" fillId="0" borderId="9" xfId="3" applyNumberFormat="1" applyFont="1" applyBorder="1"/>
    <xf numFmtId="206" fontId="86" fillId="0" borderId="4" xfId="0" applyNumberFormat="1" applyFont="1" applyBorder="1"/>
    <xf numFmtId="206" fontId="86" fillId="0" borderId="11" xfId="0" applyNumberFormat="1" applyFont="1" applyBorder="1"/>
    <xf numFmtId="0" fontId="102" fillId="2" borderId="7" xfId="0" applyFont="1" applyFill="1" applyBorder="1"/>
    <xf numFmtId="0" fontId="102" fillId="2" borderId="18" xfId="0" applyFont="1" applyFill="1" applyBorder="1"/>
    <xf numFmtId="206" fontId="99" fillId="0" borderId="8" xfId="3" applyNumberFormat="1" applyFont="1" applyBorder="1"/>
    <xf numFmtId="37" fontId="58" fillId="0" borderId="0" xfId="0" applyNumberFormat="1" applyFont="1" applyBorder="1"/>
    <xf numFmtId="37" fontId="58" fillId="0" borderId="9" xfId="0" applyNumberFormat="1" applyFont="1" applyBorder="1"/>
    <xf numFmtId="41" fontId="103" fillId="0" borderId="0" xfId="0" applyNumberFormat="1" applyFont="1" applyBorder="1"/>
    <xf numFmtId="41" fontId="103" fillId="0" borderId="9" xfId="0" applyNumberFormat="1" applyFont="1" applyBorder="1"/>
    <xf numFmtId="206" fontId="86" fillId="0" borderId="8" xfId="3" applyNumberFormat="1" applyFont="1" applyBorder="1"/>
    <xf numFmtId="38" fontId="103" fillId="0" borderId="0" xfId="0" applyNumberFormat="1" applyFont="1" applyBorder="1"/>
    <xf numFmtId="38" fontId="103" fillId="0" borderId="9" xfId="0" applyNumberFormat="1" applyFont="1" applyBorder="1"/>
    <xf numFmtId="206" fontId="98" fillId="0" borderId="10" xfId="3" applyNumberFormat="1" applyFont="1" applyBorder="1"/>
    <xf numFmtId="206" fontId="99" fillId="0" borderId="6" xfId="3" applyNumberFormat="1" applyFont="1" applyBorder="1"/>
    <xf numFmtId="41" fontId="58" fillId="0" borderId="0" xfId="0" applyNumberFormat="1" applyFont="1" applyBorder="1"/>
    <xf numFmtId="41" fontId="58" fillId="0" borderId="9" xfId="0" applyNumberFormat="1" applyFont="1" applyBorder="1"/>
    <xf numFmtId="206" fontId="98" fillId="0" borderId="8" xfId="3" applyNumberFormat="1" applyFont="1" applyBorder="1"/>
    <xf numFmtId="42" fontId="58" fillId="0" borderId="0" xfId="0" applyNumberFormat="1" applyFont="1" applyBorder="1"/>
    <xf numFmtId="42" fontId="58" fillId="0" borderId="9" xfId="0" applyNumberFormat="1" applyFont="1" applyBorder="1"/>
    <xf numFmtId="206" fontId="86" fillId="0" borderId="10" xfId="3" applyNumberFormat="1" applyFont="1" applyBorder="1"/>
    <xf numFmtId="0" fontId="102" fillId="0" borderId="8" xfId="0" applyFont="1" applyBorder="1" applyAlignment="1" applyProtection="1">
      <alignment horizontal="left"/>
    </xf>
    <xf numFmtId="0" fontId="132" fillId="0" borderId="8" xfId="0" applyFont="1" applyBorder="1" applyAlignment="1" applyProtection="1">
      <alignment horizontal="left"/>
    </xf>
    <xf numFmtId="203" fontId="86" fillId="0" borderId="9" xfId="5" applyNumberFormat="1" applyFont="1" applyBorder="1" applyProtection="1"/>
    <xf numFmtId="10" fontId="106" fillId="0" borderId="9" xfId="0" applyNumberFormat="1" applyFont="1" applyBorder="1"/>
    <xf numFmtId="0" fontId="86" fillId="0" borderId="9" xfId="0" applyFont="1" applyBorder="1" applyAlignment="1" applyProtection="1">
      <alignment horizontal="left"/>
    </xf>
    <xf numFmtId="41" fontId="86" fillId="0" borderId="9" xfId="0" applyNumberFormat="1" applyFont="1" applyBorder="1"/>
    <xf numFmtId="10" fontId="106" fillId="0" borderId="9" xfId="24" applyNumberFormat="1" applyFont="1" applyBorder="1"/>
    <xf numFmtId="203" fontId="98" fillId="0" borderId="0" xfId="5" applyNumberFormat="1" applyFont="1" applyBorder="1" applyProtection="1"/>
    <xf numFmtId="203" fontId="98" fillId="0" borderId="9" xfId="5" applyNumberFormat="1" applyFont="1" applyBorder="1" applyProtection="1"/>
    <xf numFmtId="0" fontId="142" fillId="0" borderId="8" xfId="0" applyFont="1" applyBorder="1" applyAlignment="1" applyProtection="1">
      <alignment horizontal="left"/>
    </xf>
    <xf numFmtId="203" fontId="106" fillId="0" borderId="0" xfId="5" applyNumberFormat="1" applyFont="1" applyBorder="1" applyProtection="1"/>
    <xf numFmtId="203" fontId="106" fillId="0" borderId="9" xfId="5" applyNumberFormat="1" applyFont="1" applyBorder="1" applyProtection="1"/>
    <xf numFmtId="41" fontId="108" fillId="0" borderId="9" xfId="0" applyNumberFormat="1" applyFont="1" applyBorder="1"/>
    <xf numFmtId="41" fontId="98" fillId="0" borderId="9" xfId="0" applyNumberFormat="1" applyFont="1" applyBorder="1"/>
    <xf numFmtId="1" fontId="86" fillId="0" borderId="9" xfId="0" applyNumberFormat="1" applyFont="1" applyBorder="1"/>
    <xf numFmtId="38" fontId="86" fillId="0" borderId="9" xfId="5" applyNumberFormat="1" applyFont="1" applyBorder="1" applyProtection="1"/>
    <xf numFmtId="0" fontId="107" fillId="0" borderId="0" xfId="0" applyFont="1" applyBorder="1"/>
    <xf numFmtId="206" fontId="106" fillId="0" borderId="0" xfId="3" applyNumberFormat="1" applyFont="1" applyBorder="1" applyProtection="1"/>
    <xf numFmtId="206" fontId="106" fillId="0" borderId="9" xfId="3" applyNumberFormat="1" applyFont="1" applyBorder="1" applyProtection="1"/>
    <xf numFmtId="206" fontId="98" fillId="0" borderId="0" xfId="3" quotePrefix="1" applyNumberFormat="1" applyFont="1" applyBorder="1" applyProtection="1"/>
    <xf numFmtId="206" fontId="98" fillId="0" borderId="9" xfId="3" quotePrefix="1" applyNumberFormat="1" applyFont="1" applyBorder="1" applyProtection="1"/>
    <xf numFmtId="41" fontId="106" fillId="0" borderId="9" xfId="0" applyNumberFormat="1" applyFont="1" applyBorder="1"/>
    <xf numFmtId="0" fontId="102" fillId="0" borderId="6" xfId="0" applyFont="1" applyBorder="1" applyAlignment="1" applyProtection="1">
      <alignment horizontal="left"/>
    </xf>
    <xf numFmtId="203" fontId="86" fillId="0" borderId="9" xfId="0" applyNumberFormat="1" applyFont="1" applyBorder="1" applyProtection="1"/>
    <xf numFmtId="41" fontId="108" fillId="0" borderId="9" xfId="0" applyNumberFormat="1" applyFont="1" applyBorder="1" applyProtection="1"/>
    <xf numFmtId="41" fontId="98" fillId="0" borderId="9" xfId="0" applyNumberFormat="1" applyFont="1" applyBorder="1" applyProtection="1"/>
    <xf numFmtId="10" fontId="86" fillId="0" borderId="9" xfId="0" applyNumberFormat="1" applyFont="1" applyBorder="1"/>
    <xf numFmtId="0" fontId="109" fillId="0" borderId="6" xfId="0" applyFont="1" applyBorder="1"/>
    <xf numFmtId="38" fontId="106" fillId="0" borderId="0" xfId="0" applyNumberFormat="1" applyFont="1" applyBorder="1"/>
    <xf numFmtId="38" fontId="106" fillId="0" borderId="9" xfId="0" applyNumberFormat="1" applyFont="1" applyBorder="1"/>
    <xf numFmtId="38" fontId="86" fillId="0" borderId="4" xfId="0" applyNumberFormat="1" applyFont="1" applyBorder="1"/>
    <xf numFmtId="38" fontId="86" fillId="0" borderId="11" xfId="0" applyNumberFormat="1" applyFont="1" applyBorder="1"/>
    <xf numFmtId="0" fontId="105" fillId="0" borderId="6" xfId="0" applyFont="1" applyBorder="1" applyAlignment="1" applyProtection="1">
      <alignment horizontal="left"/>
      <protection locked="0"/>
    </xf>
    <xf numFmtId="167" fontId="106" fillId="0" borderId="7" xfId="0" applyNumberFormat="1" applyFont="1" applyBorder="1" applyProtection="1">
      <protection locked="0"/>
    </xf>
    <xf numFmtId="170" fontId="107" fillId="0" borderId="0" xfId="0" applyNumberFormat="1" applyFont="1" applyBorder="1" applyProtection="1">
      <protection locked="0"/>
    </xf>
    <xf numFmtId="170" fontId="86" fillId="0" borderId="0" xfId="0" applyNumberFormat="1" applyFont="1" applyBorder="1" applyProtection="1"/>
    <xf numFmtId="172" fontId="107" fillId="0" borderId="0" xfId="0" applyNumberFormat="1" applyFont="1" applyBorder="1" applyProtection="1">
      <protection locked="0"/>
    </xf>
    <xf numFmtId="10" fontId="86" fillId="0" borderId="0" xfId="24" applyNumberFormat="1" applyFont="1" applyBorder="1" applyProtection="1"/>
    <xf numFmtId="10" fontId="86" fillId="0" borderId="9" xfId="24" applyNumberFormat="1" applyFont="1" applyBorder="1" applyProtection="1"/>
    <xf numFmtId="172" fontId="86" fillId="0" borderId="0" xfId="0" applyNumberFormat="1" applyFont="1" applyBorder="1" applyProtection="1"/>
    <xf numFmtId="204" fontId="107" fillId="0" borderId="0" xfId="0" applyNumberFormat="1" applyFont="1" applyBorder="1" applyProtection="1">
      <protection locked="0"/>
    </xf>
    <xf numFmtId="206" fontId="141" fillId="0" borderId="0" xfId="3" applyNumberFormat="1" applyFont="1" applyBorder="1" applyProtection="1"/>
    <xf numFmtId="206" fontId="141" fillId="0" borderId="9" xfId="3" applyNumberFormat="1" applyFont="1" applyBorder="1" applyProtection="1"/>
    <xf numFmtId="0" fontId="86" fillId="0" borderId="10" xfId="0" applyFont="1" applyBorder="1" applyAlignment="1" applyProtection="1">
      <alignment horizontal="left"/>
    </xf>
    <xf numFmtId="0" fontId="86" fillId="0" borderId="4" xfId="0" applyFont="1" applyBorder="1" applyProtection="1"/>
    <xf numFmtId="203" fontId="86" fillId="0" borderId="11" xfId="5" applyNumberFormat="1" applyFont="1" applyBorder="1"/>
    <xf numFmtId="0" fontId="105" fillId="0" borderId="8" xfId="0" applyFont="1" applyBorder="1" applyAlignment="1" applyProtection="1">
      <alignment horizontal="left"/>
      <protection locked="0"/>
    </xf>
    <xf numFmtId="176" fontId="86" fillId="0" borderId="0" xfId="0" applyNumberFormat="1" applyFont="1" applyBorder="1" applyProtection="1"/>
    <xf numFmtId="10" fontId="107" fillId="0" borderId="0" xfId="24" applyNumberFormat="1" applyFont="1" applyBorder="1" applyProtection="1"/>
    <xf numFmtId="10" fontId="107" fillId="0" borderId="9" xfId="24" applyNumberFormat="1" applyFont="1" applyBorder="1" applyProtection="1"/>
    <xf numFmtId="0" fontId="86" fillId="0" borderId="0" xfId="0" applyFont="1" applyBorder="1" applyAlignment="1">
      <alignment horizontal="center"/>
    </xf>
    <xf numFmtId="9" fontId="107" fillId="0" borderId="0" xfId="24" applyFont="1" applyBorder="1" applyProtection="1"/>
    <xf numFmtId="0" fontId="86" fillId="0" borderId="7" xfId="0" applyFont="1" applyBorder="1" applyAlignment="1" applyProtection="1">
      <alignment horizontal="right"/>
    </xf>
    <xf numFmtId="37" fontId="86" fillId="0" borderId="7" xfId="22" applyFont="1" applyBorder="1" applyAlignment="1">
      <alignment horizontal="right"/>
    </xf>
    <xf numFmtId="37" fontId="86" fillId="0" borderId="18" xfId="22" applyFont="1" applyBorder="1" applyAlignment="1">
      <alignment horizontal="right"/>
    </xf>
    <xf numFmtId="10" fontId="107" fillId="0" borderId="0" xfId="24" applyNumberFormat="1" applyFont="1" applyBorder="1" applyProtection="1">
      <protection locked="0"/>
    </xf>
    <xf numFmtId="9" fontId="107" fillId="0" borderId="4" xfId="24" applyFont="1" applyBorder="1" applyProtection="1">
      <protection locked="0"/>
    </xf>
    <xf numFmtId="206" fontId="86" fillId="0" borderId="4" xfId="3" applyNumberFormat="1" applyFont="1" applyBorder="1" applyProtection="1"/>
    <xf numFmtId="206" fontId="86" fillId="0" borderId="11" xfId="3" applyNumberFormat="1" applyFont="1" applyBorder="1" applyProtection="1"/>
    <xf numFmtId="0" fontId="86" fillId="0" borderId="9" xfId="0" applyFont="1" applyFill="1" applyBorder="1"/>
    <xf numFmtId="171" fontId="112" fillId="0" borderId="11" xfId="24" applyNumberFormat="1" applyFont="1" applyBorder="1"/>
    <xf numFmtId="38" fontId="58" fillId="0" borderId="18" xfId="0" applyNumberFormat="1" applyFont="1" applyBorder="1"/>
    <xf numFmtId="10" fontId="58" fillId="0" borderId="9" xfId="0" applyNumberFormat="1" applyFont="1" applyBorder="1"/>
    <xf numFmtId="0" fontId="99" fillId="0" borderId="0" xfId="0" applyFont="1" applyBorder="1"/>
    <xf numFmtId="37" fontId="99" fillId="0" borderId="0" xfId="0" applyNumberFormat="1" applyFont="1" applyBorder="1"/>
    <xf numFmtId="37" fontId="99" fillId="0" borderId="9" xfId="0" applyNumberFormat="1" applyFont="1" applyBorder="1"/>
    <xf numFmtId="37" fontId="99" fillId="0" borderId="0" xfId="0" applyNumberFormat="1" applyFont="1"/>
    <xf numFmtId="37" fontId="150" fillId="0" borderId="8" xfId="22" applyFont="1" applyBorder="1" applyAlignment="1">
      <alignment horizontal="left"/>
    </xf>
    <xf numFmtId="37" fontId="150" fillId="0" borderId="0" xfId="22" applyFont="1" applyFill="1" applyBorder="1" applyAlignment="1"/>
    <xf numFmtId="37" fontId="151" fillId="0" borderId="0" xfId="22" applyFont="1" applyFill="1" applyBorder="1" applyAlignment="1"/>
    <xf numFmtId="203" fontId="58" fillId="0" borderId="8" xfId="5" applyNumberFormat="1" applyFont="1" applyBorder="1"/>
    <xf numFmtId="203" fontId="151" fillId="0" borderId="0" xfId="5" applyNumberFormat="1" applyFont="1" applyBorder="1"/>
    <xf numFmtId="203" fontId="151" fillId="0" borderId="3" xfId="5" applyNumberFormat="1" applyFont="1" applyFill="1" applyBorder="1"/>
    <xf numFmtId="203" fontId="151" fillId="0" borderId="0" xfId="5" applyNumberFormat="1" applyFont="1" applyFill="1" applyBorder="1"/>
    <xf numFmtId="203" fontId="151" fillId="0" borderId="9" xfId="5" applyNumberFormat="1" applyFont="1" applyFill="1" applyBorder="1"/>
    <xf numFmtId="203" fontId="151" fillId="0" borderId="0" xfId="5" applyNumberFormat="1" applyFont="1" applyFill="1"/>
    <xf numFmtId="10" fontId="151" fillId="0" borderId="0" xfId="24" applyNumberFormat="1" applyFont="1" applyBorder="1"/>
    <xf numFmtId="203" fontId="151" fillId="8" borderId="0" xfId="5" applyNumberFormat="1" applyFont="1" applyFill="1" applyBorder="1"/>
    <xf numFmtId="203" fontId="151" fillId="8" borderId="9" xfId="5" applyNumberFormat="1" applyFont="1" applyFill="1" applyBorder="1"/>
    <xf numFmtId="203" fontId="151" fillId="8" borderId="0" xfId="5" applyNumberFormat="1" applyFont="1" applyFill="1"/>
    <xf numFmtId="203" fontId="150" fillId="0" borderId="0" xfId="5" applyNumberFormat="1" applyFont="1" applyFill="1" applyBorder="1"/>
    <xf numFmtId="203" fontId="150" fillId="0" borderId="9" xfId="5" applyNumberFormat="1" applyFont="1" applyFill="1" applyBorder="1"/>
    <xf numFmtId="203" fontId="150" fillId="0" borderId="0" xfId="5" applyNumberFormat="1" applyFont="1" applyFill="1"/>
    <xf numFmtId="43" fontId="151" fillId="0" borderId="0" xfId="3" applyNumberFormat="1" applyFont="1" applyFill="1" applyBorder="1"/>
    <xf numFmtId="10" fontId="151" fillId="0" borderId="0" xfId="24" applyNumberFormat="1" applyFont="1" applyFill="1" applyBorder="1"/>
    <xf numFmtId="37" fontId="58" fillId="0" borderId="4" xfId="22" applyFont="1" applyBorder="1" applyAlignment="1"/>
    <xf numFmtId="0" fontId="58" fillId="0" borderId="4" xfId="0" applyFont="1" applyBorder="1" applyAlignment="1">
      <alignment horizontal="right"/>
    </xf>
    <xf numFmtId="9" fontId="58" fillId="0" borderId="4" xfId="24" applyFont="1" applyBorder="1"/>
    <xf numFmtId="10" fontId="137" fillId="0" borderId="4" xfId="24" applyNumberFormat="1" applyFont="1" applyBorder="1"/>
    <xf numFmtId="10" fontId="137" fillId="0" borderId="11" xfId="24" applyNumberFormat="1" applyFont="1" applyBorder="1"/>
    <xf numFmtId="10" fontId="137" fillId="0" borderId="0" xfId="24" applyNumberFormat="1" applyFont="1"/>
    <xf numFmtId="43" fontId="151" fillId="0" borderId="0" xfId="3" applyFont="1" applyFill="1" applyBorder="1"/>
    <xf numFmtId="0" fontId="111" fillId="2" borderId="0" xfId="0" applyFont="1" applyFill="1"/>
    <xf numFmtId="0" fontId="17" fillId="2" borderId="0" xfId="0" applyFont="1" applyFill="1"/>
    <xf numFmtId="0" fontId="95" fillId="0" borderId="9" xfId="0" applyFont="1" applyBorder="1" applyAlignment="1">
      <alignment horizontal="center" wrapText="1"/>
    </xf>
    <xf numFmtId="42" fontId="111" fillId="0" borderId="9" xfId="0" applyNumberFormat="1" applyFont="1" applyBorder="1"/>
    <xf numFmtId="42" fontId="117" fillId="0" borderId="9" xfId="0" applyNumberFormat="1" applyFont="1" applyBorder="1"/>
    <xf numFmtId="42" fontId="119" fillId="0" borderId="11" xfId="0" applyNumberFormat="1" applyFont="1" applyBorder="1"/>
    <xf numFmtId="203" fontId="119" fillId="0" borderId="0" xfId="0" applyNumberFormat="1" applyFont="1" applyBorder="1"/>
    <xf numFmtId="42" fontId="119" fillId="0" borderId="9" xfId="0" applyNumberFormat="1" applyFont="1" applyBorder="1"/>
    <xf numFmtId="203" fontId="119" fillId="0" borderId="4" xfId="5" applyNumberFormat="1" applyFont="1" applyFill="1" applyBorder="1"/>
    <xf numFmtId="0" fontId="119" fillId="0" borderId="20" xfId="0" applyFont="1" applyBorder="1" applyAlignment="1">
      <alignment horizontal="center"/>
    </xf>
    <xf numFmtId="0" fontId="119" fillId="0" borderId="17" xfId="0" applyFont="1" applyBorder="1" applyAlignment="1">
      <alignment horizontal="center"/>
    </xf>
    <xf numFmtId="205" fontId="112" fillId="0" borderId="4" xfId="3" applyNumberFormat="1" applyFont="1" applyFill="1" applyBorder="1" applyAlignment="1">
      <alignment horizontal="right"/>
    </xf>
    <xf numFmtId="0" fontId="143" fillId="4" borderId="6" xfId="0" applyFont="1" applyFill="1" applyBorder="1" applyAlignment="1" applyProtection="1">
      <alignment horizontal="left"/>
    </xf>
    <xf numFmtId="203" fontId="119" fillId="4" borderId="7" xfId="5" applyNumberFormat="1" applyFont="1" applyFill="1" applyBorder="1" applyProtection="1">
      <protection locked="0"/>
    </xf>
    <xf numFmtId="317" fontId="119" fillId="4" borderId="7" xfId="0" applyNumberFormat="1" applyFont="1" applyFill="1" applyBorder="1"/>
    <xf numFmtId="6" fontId="119" fillId="4" borderId="7" xfId="0" applyNumberFormat="1" applyFont="1" applyFill="1" applyBorder="1"/>
    <xf numFmtId="42" fontId="119" fillId="4" borderId="18" xfId="0" applyNumberFormat="1" applyFont="1" applyFill="1" applyBorder="1"/>
    <xf numFmtId="203" fontId="119" fillId="0" borderId="0" xfId="5" applyNumberFormat="1" applyFont="1" applyBorder="1" applyAlignment="1" applyProtection="1">
      <alignment wrapText="1"/>
      <protection locked="0"/>
    </xf>
    <xf numFmtId="317" fontId="119" fillId="0" borderId="0" xfId="0" applyNumberFormat="1" applyFont="1" applyBorder="1" applyAlignment="1">
      <alignment wrapText="1"/>
    </xf>
    <xf numFmtId="38" fontId="112" fillId="0" borderId="0" xfId="5" applyNumberFormat="1" applyFont="1" applyBorder="1" applyProtection="1">
      <protection locked="0"/>
    </xf>
    <xf numFmtId="42" fontId="111" fillId="0" borderId="0" xfId="0" applyNumberFormat="1" applyFont="1" applyBorder="1"/>
    <xf numFmtId="171" fontId="111" fillId="0" borderId="9" xfId="24" applyNumberFormat="1" applyFont="1" applyBorder="1"/>
    <xf numFmtId="42" fontId="117" fillId="0" borderId="0" xfId="0" applyNumberFormat="1" applyFont="1" applyBorder="1"/>
    <xf numFmtId="9" fontId="119" fillId="0" borderId="9" xfId="24" applyFont="1" applyBorder="1"/>
    <xf numFmtId="0" fontId="115" fillId="0" borderId="10" xfId="0" applyFont="1" applyBorder="1" applyAlignment="1" applyProtection="1">
      <alignment horizontal="left"/>
    </xf>
    <xf numFmtId="203" fontId="119" fillId="0" borderId="4" xfId="5" applyNumberFormat="1" applyFont="1" applyBorder="1" applyProtection="1">
      <protection locked="0"/>
    </xf>
    <xf numFmtId="42" fontId="111" fillId="0" borderId="4" xfId="0" applyNumberFormat="1" applyFont="1" applyBorder="1"/>
    <xf numFmtId="171" fontId="0" fillId="0" borderId="0" xfId="24" applyNumberFormat="1" applyFont="1"/>
    <xf numFmtId="0" fontId="1" fillId="0" borderId="6" xfId="0" applyFont="1" applyBorder="1" applyAlignment="1">
      <alignment wrapText="1"/>
    </xf>
    <xf numFmtId="10" fontId="0" fillId="0" borderId="18" xfId="24" applyNumberFormat="1" applyFont="1" applyBorder="1"/>
    <xf numFmtId="10" fontId="0" fillId="0" borderId="0" xfId="24" applyNumberFormat="1" applyFont="1" applyBorder="1"/>
    <xf numFmtId="0" fontId="1" fillId="0" borderId="8" xfId="0" applyFont="1" applyBorder="1" applyAlignment="1">
      <alignment wrapText="1"/>
    </xf>
    <xf numFmtId="8" fontId="0" fillId="0" borderId="9" xfId="24" applyNumberFormat="1" applyFont="1" applyBorder="1"/>
    <xf numFmtId="0" fontId="1" fillId="0" borderId="8" xfId="0" applyFont="1" applyBorder="1"/>
    <xf numFmtId="0" fontId="0" fillId="0" borderId="9" xfId="0" applyBorder="1"/>
    <xf numFmtId="0" fontId="1" fillId="0" borderId="10" xfId="0" applyFont="1" applyBorder="1"/>
    <xf numFmtId="0" fontId="0" fillId="0" borderId="11" xfId="0" applyBorder="1"/>
    <xf numFmtId="0" fontId="5" fillId="0" borderId="7" xfId="0" applyFont="1" applyBorder="1"/>
    <xf numFmtId="0" fontId="5" fillId="0" borderId="4" xfId="0" applyFont="1" applyBorder="1"/>
    <xf numFmtId="0" fontId="1" fillId="0" borderId="7" xfId="0" applyFont="1" applyBorder="1" applyAlignment="1">
      <alignment wrapText="1"/>
    </xf>
    <xf numFmtId="0" fontId="1" fillId="0" borderId="7" xfId="0" applyFont="1" applyBorder="1"/>
    <xf numFmtId="0" fontId="1" fillId="0" borderId="18" xfId="0" applyFont="1" applyBorder="1"/>
    <xf numFmtId="0" fontId="0" fillId="0" borderId="8" xfId="0" applyBorder="1"/>
    <xf numFmtId="38" fontId="0" fillId="0" borderId="0" xfId="0" applyNumberFormat="1" applyBorder="1"/>
    <xf numFmtId="10" fontId="0" fillId="0" borderId="9" xfId="24" applyNumberFormat="1" applyFont="1" applyBorder="1"/>
    <xf numFmtId="0" fontId="0" fillId="0" borderId="10" xfId="0" applyBorder="1"/>
    <xf numFmtId="38" fontId="0" fillId="0" borderId="4" xfId="0" applyNumberFormat="1" applyBorder="1"/>
    <xf numFmtId="10" fontId="0" fillId="0" borderId="4" xfId="24" applyNumberFormat="1" applyFont="1" applyBorder="1"/>
    <xf numFmtId="10" fontId="0" fillId="0" borderId="11" xfId="24" applyNumberFormat="1" applyFont="1" applyBorder="1"/>
    <xf numFmtId="38" fontId="119" fillId="0" borderId="0" xfId="0" applyNumberFormat="1" applyFont="1" applyBorder="1" applyAlignment="1">
      <alignment horizontal="center" wrapText="1"/>
    </xf>
    <xf numFmtId="6" fontId="117" fillId="0" borderId="0" xfId="0" applyNumberFormat="1" applyFont="1" applyBorder="1"/>
    <xf numFmtId="6" fontId="111" fillId="0" borderId="4" xfId="0" applyNumberFormat="1" applyFont="1" applyBorder="1"/>
    <xf numFmtId="43" fontId="119" fillId="0" borderId="0" xfId="0" applyNumberFormat="1" applyFont="1" applyBorder="1"/>
    <xf numFmtId="203" fontId="119" fillId="0" borderId="19" xfId="0" applyNumberFormat="1" applyFont="1" applyBorder="1"/>
    <xf numFmtId="0" fontId="119" fillId="0" borderId="19" xfId="0" applyFont="1" applyBorder="1" applyAlignment="1">
      <alignment horizontal="center"/>
    </xf>
    <xf numFmtId="43" fontId="119" fillId="0" borderId="19" xfId="0" applyNumberFormat="1" applyFont="1" applyBorder="1"/>
    <xf numFmtId="0" fontId="111" fillId="0" borderId="19" xfId="0" applyFont="1" applyBorder="1"/>
    <xf numFmtId="203" fontId="98" fillId="0" borderId="0" xfId="5" applyNumberFormat="1" applyFont="1" applyFill="1" applyBorder="1"/>
    <xf numFmtId="203" fontId="98" fillId="0" borderId="9" xfId="5" applyNumberFormat="1" applyFont="1" applyFill="1" applyBorder="1"/>
    <xf numFmtId="203" fontId="102" fillId="0" borderId="0" xfId="5" applyNumberFormat="1" applyFont="1" applyFill="1" applyBorder="1"/>
    <xf numFmtId="203" fontId="102" fillId="0" borderId="9" xfId="5" applyNumberFormat="1" applyFont="1" applyFill="1" applyBorder="1"/>
    <xf numFmtId="41" fontId="152" fillId="0" borderId="0" xfId="6" applyNumberFormat="1" applyFont="1" applyFill="1" applyBorder="1"/>
    <xf numFmtId="41" fontId="152" fillId="0" borderId="9" xfId="6" applyNumberFormat="1" applyFont="1" applyFill="1" applyBorder="1"/>
    <xf numFmtId="203" fontId="98" fillId="0" borderId="4" xfId="5" applyNumberFormat="1" applyFont="1" applyFill="1" applyBorder="1"/>
    <xf numFmtId="203" fontId="98" fillId="0" borderId="11" xfId="5" applyNumberFormat="1" applyFont="1" applyFill="1" applyBorder="1"/>
    <xf numFmtId="10" fontId="112" fillId="0" borderId="9" xfId="24" applyNumberFormat="1" applyFont="1" applyFill="1" applyBorder="1" applyAlignment="1">
      <alignment horizontal="right"/>
    </xf>
    <xf numFmtId="9" fontId="111" fillId="0" borderId="9" xfId="0" applyNumberFormat="1" applyFont="1" applyBorder="1"/>
    <xf numFmtId="174" fontId="112" fillId="0" borderId="9" xfId="0" applyNumberFormat="1" applyFont="1" applyBorder="1" applyProtection="1">
      <protection locked="0"/>
    </xf>
    <xf numFmtId="12" fontId="112" fillId="0" borderId="9" xfId="24" applyNumberFormat="1" applyFont="1" applyBorder="1"/>
    <xf numFmtId="9" fontId="112" fillId="0" borderId="9" xfId="0" applyNumberFormat="1" applyFont="1" applyBorder="1" applyProtection="1">
      <protection locked="0"/>
    </xf>
    <xf numFmtId="206" fontId="111" fillId="0" borderId="11" xfId="3" applyNumberFormat="1" applyFont="1" applyBorder="1"/>
    <xf numFmtId="0" fontId="118" fillId="0" borderId="20" xfId="0" applyFont="1" applyBorder="1"/>
    <xf numFmtId="38" fontId="111" fillId="0" borderId="9" xfId="0" applyNumberFormat="1" applyFont="1" applyBorder="1"/>
    <xf numFmtId="38" fontId="111" fillId="0" borderId="11" xfId="0" applyNumberFormat="1" applyFont="1" applyBorder="1"/>
    <xf numFmtId="38" fontId="111" fillId="4" borderId="18" xfId="0" applyNumberFormat="1" applyFont="1" applyFill="1" applyBorder="1"/>
    <xf numFmtId="0" fontId="126" fillId="0" borderId="9" xfId="0" applyFont="1" applyBorder="1" applyAlignment="1">
      <alignment horizontal="center" wrapText="1"/>
    </xf>
    <xf numFmtId="40" fontId="111" fillId="0" borderId="9" xfId="0" applyNumberFormat="1" applyFont="1" applyBorder="1"/>
    <xf numFmtId="40" fontId="117" fillId="0" borderId="9" xfId="0" applyNumberFormat="1" applyFont="1" applyBorder="1"/>
    <xf numFmtId="40" fontId="111" fillId="0" borderId="17" xfId="0" applyNumberFormat="1" applyFont="1" applyBorder="1"/>
    <xf numFmtId="38" fontId="111" fillId="0" borderId="0" xfId="0" applyNumberFormat="1" applyFont="1"/>
    <xf numFmtId="0" fontId="122" fillId="0" borderId="0" xfId="0" applyFont="1" applyBorder="1" applyAlignment="1">
      <alignment horizontal="center" wrapText="1"/>
    </xf>
    <xf numFmtId="0" fontId="111" fillId="4" borderId="7" xfId="0" applyFont="1" applyFill="1" applyBorder="1" applyAlignment="1">
      <alignment horizontal="right"/>
    </xf>
    <xf numFmtId="5" fontId="111" fillId="4" borderId="7" xfId="5" applyNumberFormat="1" applyFont="1" applyFill="1" applyBorder="1" applyAlignment="1">
      <alignment horizontal="center"/>
    </xf>
    <xf numFmtId="5" fontId="111" fillId="4" borderId="18" xfId="5" applyNumberFormat="1" applyFont="1" applyFill="1" applyBorder="1" applyAlignment="1">
      <alignment horizontal="center"/>
    </xf>
    <xf numFmtId="317" fontId="111" fillId="0" borderId="0" xfId="0" applyNumberFormat="1" applyFont="1" applyBorder="1"/>
    <xf numFmtId="5" fontId="111" fillId="0" borderId="0" xfId="5" applyNumberFormat="1" applyFont="1" applyBorder="1" applyAlignment="1">
      <alignment horizontal="center"/>
    </xf>
    <xf numFmtId="5" fontId="111" fillId="0" borderId="4" xfId="5" applyNumberFormat="1" applyFont="1" applyBorder="1" applyAlignment="1">
      <alignment horizontal="center"/>
    </xf>
    <xf numFmtId="0" fontId="16" fillId="0" borderId="0" xfId="0" applyFont="1"/>
    <xf numFmtId="0" fontId="153" fillId="0" borderId="0" xfId="0" applyFont="1"/>
    <xf numFmtId="190" fontId="0" fillId="0" borderId="0" xfId="0" applyNumberFormat="1"/>
    <xf numFmtId="9" fontId="1" fillId="0" borderId="0" xfId="0" applyNumberFormat="1" applyFont="1"/>
    <xf numFmtId="172" fontId="112" fillId="0" borderId="9" xfId="0" applyNumberFormat="1" applyFont="1" applyFill="1" applyBorder="1" applyProtection="1">
      <protection locked="0"/>
    </xf>
    <xf numFmtId="275" fontId="86" fillId="0" borderId="9" xfId="4" applyNumberFormat="1" applyFont="1" applyFill="1" applyBorder="1"/>
    <xf numFmtId="275" fontId="106" fillId="0" borderId="9" xfId="4" applyNumberFormat="1" applyFont="1" applyFill="1" applyBorder="1"/>
    <xf numFmtId="171" fontId="112" fillId="0" borderId="0" xfId="0" applyNumberFormat="1" applyFont="1" applyBorder="1"/>
    <xf numFmtId="206" fontId="112" fillId="0" borderId="0" xfId="3" applyNumberFormat="1" applyFont="1" applyFill="1" applyBorder="1" applyProtection="1">
      <protection locked="0"/>
    </xf>
    <xf numFmtId="172" fontId="115" fillId="0" borderId="9" xfId="0" applyNumberFormat="1" applyFont="1" applyFill="1" applyBorder="1" applyProtection="1">
      <protection locked="0"/>
    </xf>
    <xf numFmtId="171" fontId="140" fillId="8" borderId="0" xfId="24" applyNumberFormat="1" applyFont="1" applyFill="1" applyBorder="1"/>
    <xf numFmtId="275" fontId="112" fillId="0" borderId="0" xfId="0" applyNumberFormat="1" applyFont="1" applyBorder="1"/>
    <xf numFmtId="0" fontId="112" fillId="0" borderId="0" xfId="0" applyFont="1" applyBorder="1"/>
    <xf numFmtId="172" fontId="111" fillId="0" borderId="0" xfId="0" applyNumberFormat="1" applyFont="1" applyBorder="1" applyProtection="1">
      <protection locked="0"/>
    </xf>
    <xf numFmtId="171" fontId="140" fillId="8" borderId="9" xfId="24" applyNumberFormat="1" applyFont="1" applyFill="1" applyBorder="1"/>
    <xf numFmtId="37" fontId="107" fillId="0" borderId="0" xfId="0" applyNumberFormat="1" applyFont="1" applyBorder="1" applyProtection="1"/>
    <xf numFmtId="14" fontId="112" fillId="0" borderId="0" xfId="0" applyNumberFormat="1" applyFont="1" applyBorder="1"/>
    <xf numFmtId="42" fontId="111" fillId="0" borderId="0" xfId="0" applyNumberFormat="1" applyFont="1" applyBorder="1" applyAlignment="1">
      <alignment horizontal="right"/>
    </xf>
    <xf numFmtId="42" fontId="112" fillId="0" borderId="4" xfId="0" applyNumberFormat="1" applyFont="1" applyBorder="1" applyAlignment="1">
      <alignment horizontal="right"/>
    </xf>
    <xf numFmtId="9" fontId="112" fillId="0" borderId="11" xfId="24" applyFont="1" applyBorder="1" applyAlignment="1">
      <alignment horizontal="left"/>
    </xf>
    <xf numFmtId="0" fontId="1" fillId="0" borderId="6" xfId="0" applyFont="1" applyBorder="1"/>
    <xf numFmtId="0" fontId="0" fillId="0" borderId="7" xfId="0" applyBorder="1"/>
    <xf numFmtId="0" fontId="0" fillId="0" borderId="18" xfId="0" applyBorder="1"/>
    <xf numFmtId="0" fontId="1" fillId="0" borderId="9" xfId="0" applyFont="1" applyBorder="1"/>
    <xf numFmtId="38" fontId="154" fillId="0" borderId="0" xfId="0" applyNumberFormat="1" applyFont="1" applyBorder="1"/>
    <xf numFmtId="38" fontId="0" fillId="0" borderId="9" xfId="0" applyNumberFormat="1" applyBorder="1"/>
    <xf numFmtId="0" fontId="1" fillId="0" borderId="4" xfId="0" applyFont="1" applyBorder="1"/>
    <xf numFmtId="38" fontId="1" fillId="0" borderId="4" xfId="0" applyNumberFormat="1" applyFont="1" applyBorder="1"/>
    <xf numFmtId="38" fontId="1" fillId="0" borderId="11" xfId="0" applyNumberFormat="1" applyFont="1" applyBorder="1"/>
    <xf numFmtId="37" fontId="86" fillId="0" borderId="0" xfId="22" applyFont="1" applyBorder="1" applyAlignment="1">
      <alignment horizontal="left"/>
    </xf>
    <xf numFmtId="206" fontId="144" fillId="11" borderId="9" xfId="3" applyNumberFormat="1" applyFont="1" applyFill="1" applyBorder="1" applyProtection="1"/>
    <xf numFmtId="1" fontId="114" fillId="0" borderId="0" xfId="0" applyNumberFormat="1" applyFont="1" applyBorder="1"/>
    <xf numFmtId="203" fontId="112" fillId="0" borderId="0" xfId="5" applyNumberFormat="1" applyFont="1" applyFill="1" applyBorder="1" applyProtection="1"/>
    <xf numFmtId="203" fontId="112" fillId="0" borderId="0" xfId="5" applyNumberFormat="1" applyFont="1" applyBorder="1" applyProtection="1"/>
    <xf numFmtId="0" fontId="151" fillId="0" borderId="0" xfId="3" applyNumberFormat="1" applyFont="1" applyFill="1" applyBorder="1"/>
    <xf numFmtId="203" fontId="118" fillId="0" borderId="11" xfId="5" applyNumberFormat="1" applyFont="1" applyBorder="1"/>
    <xf numFmtId="206" fontId="155" fillId="11" borderId="9" xfId="3" applyNumberFormat="1" applyFont="1" applyFill="1" applyBorder="1"/>
    <xf numFmtId="10" fontId="111" fillId="11" borderId="0" xfId="24" applyNumberFormat="1" applyFont="1" applyFill="1" applyBorder="1" applyAlignment="1" applyProtection="1">
      <alignment horizontal="center"/>
      <protection locked="0"/>
    </xf>
    <xf numFmtId="41" fontId="86" fillId="0" borderId="11" xfId="6" applyNumberFormat="1" applyFont="1" applyFill="1" applyBorder="1"/>
    <xf numFmtId="205" fontId="112" fillId="0" borderId="9" xfId="3" applyNumberFormat="1" applyFont="1" applyBorder="1"/>
    <xf numFmtId="38" fontId="5" fillId="0" borderId="0" xfId="0" applyNumberFormat="1" applyFont="1" applyBorder="1"/>
    <xf numFmtId="0" fontId="5" fillId="0" borderId="8" xfId="0" applyFont="1" applyBorder="1"/>
    <xf numFmtId="6" fontId="100" fillId="0" borderId="11" xfId="0" applyNumberFormat="1" applyFont="1" applyBorder="1"/>
    <xf numFmtId="38" fontId="15" fillId="0" borderId="8" xfId="17" applyNumberFormat="1" applyBorder="1" applyAlignment="1" applyProtection="1"/>
    <xf numFmtId="0" fontId="149" fillId="2" borderId="0" xfId="0" applyFont="1" applyFill="1" applyAlignment="1">
      <alignment horizontal="center"/>
    </xf>
    <xf numFmtId="0" fontId="110" fillId="0" borderId="0" xfId="0" applyFont="1" applyAlignment="1">
      <alignment horizontal="center"/>
    </xf>
    <xf numFmtId="0" fontId="86" fillId="0" borderId="0" xfId="0" applyFont="1" applyAlignment="1">
      <alignment horizontal="center"/>
    </xf>
  </cellXfs>
  <cellStyles count="36">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Hyperlink" xfId="17" builtinId="8"/>
    <cellStyle name="Input [yellow]" xfId="18"/>
    <cellStyle name="no dec" xfId="19"/>
    <cellStyle name="Normal" xfId="0" builtinId="0"/>
    <cellStyle name="Normal - Style1" xfId="20"/>
    <cellStyle name="Normal_A" xfId="21"/>
    <cellStyle name="Normal_Curve_Economics" xfId="22"/>
    <cellStyle name="Normal_H" xfId="23"/>
    <cellStyle name="Percent" xfId="24" builtinId="5"/>
    <cellStyle name="Percent [2]" xfId="25"/>
    <cellStyle name="Standard_Anpassen der Amortisation" xfId="26"/>
    <cellStyle name="Total" xfId="27" builtinId="25" customBuiltin="1"/>
    <cellStyle name="uk" xfId="28"/>
    <cellStyle name="Un" xfId="29"/>
    <cellStyle name="Unprot" xfId="30"/>
    <cellStyle name="Unprot$" xfId="31"/>
    <cellStyle name="Unprot_CurrencySKorea" xfId="32"/>
    <cellStyle name="Unprotect" xfId="33"/>
    <cellStyle name="Währung [0]_Compiling Utility Macros" xfId="34"/>
    <cellStyle name="Währung_Compiling Utility Macros" xfId="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632139972544244E-2"/>
          <c:y val="0.10373813549949726"/>
          <c:w val="0.52175558255132504"/>
          <c:h val="0.72616694849648089"/>
        </c:manualLayout>
      </c:layout>
      <c:lineChart>
        <c:grouping val="standard"/>
        <c:varyColors val="0"/>
        <c:ser>
          <c:idx val="0"/>
          <c:order val="0"/>
          <c:tx>
            <c:strRef>
              <c:f>'PPA Assumptions &amp; Summary'!$A$78</c:f>
              <c:strCache>
                <c:ptCount val="1"/>
                <c:pt idx="0">
                  <c:v>Kaiser Peak as of 1998 ( $ / MWh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val>
            <c:numRef>
              <c:f>'PPA Assumptions &amp; Summary'!$B$78:$V$78</c:f>
              <c:numCache>
                <c:formatCode>General</c:formatCode>
                <c:ptCount val="21"/>
                <c:pt idx="2" formatCode="#,##0.00_);[Red]\(#,##0.00\)">
                  <c:v>39.75</c:v>
                </c:pt>
                <c:pt idx="3" formatCode="#,##0.00_);[Red]\(#,##0.00\)">
                  <c:v>42.43</c:v>
                </c:pt>
                <c:pt idx="4" formatCode="#,##0.00_);[Red]\(#,##0.00\)">
                  <c:v>45.29</c:v>
                </c:pt>
                <c:pt idx="5" formatCode="#,##0.00_);[Red]\(#,##0.00\)">
                  <c:v>48.34</c:v>
                </c:pt>
                <c:pt idx="6" formatCode="#,##0.00_);[Red]\(#,##0.00\)">
                  <c:v>51.59</c:v>
                </c:pt>
                <c:pt idx="7" formatCode="#,##0.00_);[Red]\(#,##0.00\)">
                  <c:v>55.07</c:v>
                </c:pt>
                <c:pt idx="8" formatCode="#,##0.00_);[Red]\(#,##0.00\)">
                  <c:v>55.52</c:v>
                </c:pt>
                <c:pt idx="9" formatCode="#,##0.00_);[Red]\(#,##0.00\)">
                  <c:v>55.97</c:v>
                </c:pt>
                <c:pt idx="10" formatCode="#,##0.00_);[Red]\(#,##0.00\)">
                  <c:v>56.43</c:v>
                </c:pt>
                <c:pt idx="11" formatCode="#,##0.00_);[Red]\(#,##0.00\)">
                  <c:v>56.89</c:v>
                </c:pt>
                <c:pt idx="12" formatCode="#,##0.00_);[Red]\(#,##0.00\)">
                  <c:v>57.36</c:v>
                </c:pt>
                <c:pt idx="13" formatCode="#,##0.00_);[Red]\(#,##0.00\)">
                  <c:v>55.15</c:v>
                </c:pt>
                <c:pt idx="14" formatCode="#,##0.00_);[Red]\(#,##0.00\)">
                  <c:v>53.04</c:v>
                </c:pt>
                <c:pt idx="15" formatCode="#,##0.00_);[Red]\(#,##0.00\)">
                  <c:v>51</c:v>
                </c:pt>
                <c:pt idx="16" formatCode="#,##0.00_);[Red]\(#,##0.00\)">
                  <c:v>49.04</c:v>
                </c:pt>
                <c:pt idx="17" formatCode="#,##0.00_);[Red]\(#,##0.00\)">
                  <c:v>47.16</c:v>
                </c:pt>
                <c:pt idx="18" formatCode="#,##0.00_);[Red]\(#,##0.00\)">
                  <c:v>47.8</c:v>
                </c:pt>
                <c:pt idx="19" formatCode="#,##0.00_);[Red]\(#,##0.00\)">
                  <c:v>48.44</c:v>
                </c:pt>
                <c:pt idx="20" formatCode="#,##0.00_);[Red]\(#,##0.00\)">
                  <c:v>49.1</c:v>
                </c:pt>
              </c:numCache>
            </c:numRef>
          </c:val>
          <c:smooth val="0"/>
        </c:ser>
        <c:ser>
          <c:idx val="1"/>
          <c:order val="1"/>
          <c:tx>
            <c:strRef>
              <c:f>'PPA Assumptions &amp; Summary'!$A$79</c:f>
              <c:strCache>
                <c:ptCount val="1"/>
                <c:pt idx="0">
                  <c:v>Kaiser Off Peak as of 1998 ( $ / MWh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'PPA Assumptions &amp; Summary'!$B$79:$V$79</c:f>
              <c:numCache>
                <c:formatCode>General</c:formatCode>
                <c:ptCount val="21"/>
                <c:pt idx="2" formatCode="#,##0.00_);[Red]\(#,##0.00\)">
                  <c:v>39.83</c:v>
                </c:pt>
                <c:pt idx="3" formatCode="#,##0.00_);[Red]\(#,##0.00\)">
                  <c:v>42.33</c:v>
                </c:pt>
                <c:pt idx="4" formatCode="#,##0.00_);[Red]\(#,##0.00\)">
                  <c:v>44.98</c:v>
                </c:pt>
                <c:pt idx="5" formatCode="#,##0.00_);[Red]\(#,##0.00\)">
                  <c:v>47.8</c:v>
                </c:pt>
                <c:pt idx="6" formatCode="#,##0.00_);[Red]\(#,##0.00\)">
                  <c:v>50.8</c:v>
                </c:pt>
                <c:pt idx="7" formatCode="#,##0.00_);[Red]\(#,##0.00\)">
                  <c:v>53.98</c:v>
                </c:pt>
                <c:pt idx="8" formatCode="#,##0.00_);[Red]\(#,##0.00\)">
                  <c:v>54.34</c:v>
                </c:pt>
                <c:pt idx="9" formatCode="#,##0.00_);[Red]\(#,##0.00\)">
                  <c:v>54.7</c:v>
                </c:pt>
                <c:pt idx="10" formatCode="#,##0.00_);[Red]\(#,##0.00\)">
                  <c:v>55.07</c:v>
                </c:pt>
                <c:pt idx="11" formatCode="#,##0.00_);[Red]\(#,##0.00\)">
                  <c:v>55.44</c:v>
                </c:pt>
                <c:pt idx="12" formatCode="#,##0.00_);[Red]\(#,##0.00\)">
                  <c:v>55.81</c:v>
                </c:pt>
                <c:pt idx="13" formatCode="#,##0.00_);[Red]\(#,##0.00\)">
                  <c:v>52.96</c:v>
                </c:pt>
                <c:pt idx="14" formatCode="#,##0.00_);[Red]\(#,##0.00\)">
                  <c:v>50.25</c:v>
                </c:pt>
                <c:pt idx="15" formatCode="#,##0.00_);[Red]\(#,##0.00\)">
                  <c:v>47.68</c:v>
                </c:pt>
                <c:pt idx="16" formatCode="#,##0.00_);[Red]\(#,##0.00\)">
                  <c:v>45.25</c:v>
                </c:pt>
                <c:pt idx="17" formatCode="#,##0.00_);[Red]\(#,##0.00\)">
                  <c:v>42.94</c:v>
                </c:pt>
                <c:pt idx="18" formatCode="#,##0.00_);[Red]\(#,##0.00\)">
                  <c:v>43.28</c:v>
                </c:pt>
                <c:pt idx="19" formatCode="#,##0.00_);[Red]\(#,##0.00\)">
                  <c:v>43.62</c:v>
                </c:pt>
                <c:pt idx="20" formatCode="#,##0.00_);[Red]\(#,##0.00\)">
                  <c:v>43.96</c:v>
                </c:pt>
              </c:numCache>
            </c:numRef>
          </c:val>
          <c:smooth val="0"/>
        </c:ser>
        <c:dLbls>
          <c:showLegendKey val="0"/>
          <c:showVal val="0"/>
          <c:showCatName val="0"/>
          <c:showSerName val="0"/>
          <c:showPercent val="0"/>
          <c:showBubbleSize val="0"/>
        </c:dLbls>
        <c:marker val="1"/>
        <c:smooth val="0"/>
        <c:axId val="248622592"/>
        <c:axId val="248623152"/>
      </c:lineChart>
      <c:catAx>
        <c:axId val="248622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48623152"/>
        <c:crosses val="autoZero"/>
        <c:auto val="1"/>
        <c:lblAlgn val="ctr"/>
        <c:lblOffset val="100"/>
        <c:tickLblSkip val="2"/>
        <c:tickMarkSkip val="1"/>
        <c:noMultiLvlLbl val="0"/>
      </c:catAx>
      <c:valAx>
        <c:axId val="248623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48622592"/>
        <c:crosses val="autoZero"/>
        <c:crossBetween val="between"/>
      </c:valAx>
      <c:spPr>
        <a:solidFill>
          <a:srgbClr val="C0C0C0"/>
        </a:solidFill>
        <a:ln w="12700">
          <a:solidFill>
            <a:srgbClr val="808080"/>
          </a:solidFill>
          <a:prstDash val="solid"/>
        </a:ln>
      </c:spPr>
    </c:plotArea>
    <c:legend>
      <c:legendPos val="r"/>
      <c:layout>
        <c:manualLayout>
          <c:xMode val="edge"/>
          <c:yMode val="edge"/>
          <c:x val="0.64452160197516617"/>
          <c:y val="0.32781250817841134"/>
          <c:w val="0.33504892801089986"/>
          <c:h val="0.2780182031386526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514350</xdr:colOff>
          <xdr:row>1</xdr:row>
          <xdr:rowOff>47625</xdr:rowOff>
        </xdr:from>
        <xdr:to>
          <xdr:col>0</xdr:col>
          <xdr:colOff>1771650</xdr:colOff>
          <xdr:row>3</xdr:row>
          <xdr:rowOff>123825</xdr:rowOff>
        </xdr:to>
        <xdr:sp macro="" textlink="">
          <xdr:nvSpPr>
            <xdr:cNvPr id="10926" name="Button 686" hidden="1">
              <a:extLst>
                <a:ext uri="{63B3BB69-23CF-44E3-9099-C40C66FF867C}">
                  <a14:compatExt spid="_x0000_s109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1943100</xdr:colOff>
          <xdr:row>2</xdr:row>
          <xdr:rowOff>47625</xdr:rowOff>
        </xdr:from>
        <xdr:to>
          <xdr:col>1</xdr:col>
          <xdr:colOff>333375</xdr:colOff>
          <xdr:row>3</xdr:row>
          <xdr:rowOff>114300</xdr:rowOff>
        </xdr:to>
        <xdr:sp macro="" textlink="">
          <xdr:nvSpPr>
            <xdr:cNvPr id="10954" name="Button 714" hidden="1">
              <a:extLst>
                <a:ext uri="{63B3BB69-23CF-44E3-9099-C40C66FF867C}">
                  <a14:compatExt spid="_x0000_s1095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Franchise Tax</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447675</xdr:colOff>
      <xdr:row>84</xdr:row>
      <xdr:rowOff>47625</xdr:rowOff>
    </xdr:from>
    <xdr:to>
      <xdr:col>7</xdr:col>
      <xdr:colOff>514350</xdr:colOff>
      <xdr:row>98</xdr:row>
      <xdr:rowOff>95250</xdr:rowOff>
    </xdr:to>
    <xdr:graphicFrame macro="">
      <xdr:nvGraphicFramePr>
        <xdr:cNvPr id="19599" name="Chart 1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ld%20Files/New%20Albany0216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heatland,I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nks/Caledonia-Bkup-0223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ld%20Files/Wilton_New030999bku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ES/GenSvcs/Genco/Financing/Old%20Files/Brownsville041299bku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ES/GenSvcs/Genco/Financing/Old%20Files/Brownsville062899bku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Project Assumptions"/>
      <sheetName val="Tracker"/>
      <sheetName val="PPA Assumptions &amp; Summary"/>
      <sheetName val="Operations"/>
      <sheetName val="Debt Amortization"/>
      <sheetName val="Returns Summary"/>
      <sheetName val="Book Income Statement"/>
      <sheetName val="Cash Flow Statement"/>
      <sheetName val="Tax Calculations"/>
      <sheetName val="Depreciation"/>
      <sheetName val="Interest During Construction"/>
      <sheetName val="Monthly Model"/>
      <sheetName val="Maintenance Reserves"/>
    </sheetNames>
    <sheetDataSet>
      <sheetData sheetId="0" refreshError="1"/>
      <sheetData sheetId="1" refreshError="1">
        <row r="14">
          <cell r="I14">
            <v>36312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Tracker"/>
      <sheetName val="ProjAssm"/>
      <sheetName val="PPA Assu&amp;Sum"/>
      <sheetName val="Oper"/>
      <sheetName val="Debt Amort"/>
      <sheetName val="Returns"/>
      <sheetName val="BK IS"/>
      <sheetName val="CF"/>
      <sheetName val="Tax"/>
      <sheetName val="Depr"/>
      <sheetName val="IDC"/>
      <sheetName val="Monthly Model"/>
      <sheetName val="MaintRes"/>
      <sheetName val="Debt Graph"/>
    </sheetNames>
    <sheetDataSet>
      <sheetData sheetId="0" refreshError="1"/>
      <sheetData sheetId="1" refreshError="1"/>
      <sheetData sheetId="2" refreshError="1"/>
      <sheetData sheetId="3" refreshError="1">
        <row r="5">
          <cell r="A5" t="str">
            <v>Months of Operation</v>
          </cell>
        </row>
        <row r="6">
          <cell r="A6" t="str">
            <v>Months of Year Under PPA</v>
          </cell>
        </row>
        <row r="7">
          <cell r="A7" t="str">
            <v>Months of Year Merchant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er"/>
      <sheetName val="Project Assumptions"/>
      <sheetName val="PPA Assumptions &amp; Summary"/>
      <sheetName val="Operations"/>
      <sheetName val="Debt Amortization"/>
      <sheetName val="Book Income Statement"/>
      <sheetName val="Returns Summary"/>
      <sheetName val="Cash Flow Statement"/>
      <sheetName val="BS"/>
      <sheetName val="Tax Calculations"/>
      <sheetName val="Depreciation"/>
      <sheetName val="Interest During Construction"/>
      <sheetName val="Monthly Model"/>
      <sheetName val="Maintainance Reserves"/>
    </sheetNames>
    <sheetDataSet>
      <sheetData sheetId="0" refreshError="1"/>
      <sheetData sheetId="1" refreshError="1"/>
      <sheetData sheetId="2">
        <row r="64">
          <cell r="I64">
            <v>36532.458062909303</v>
          </cell>
        </row>
      </sheetData>
      <sheetData sheetId="3" refreshError="1"/>
      <sheetData sheetId="4" refreshError="1"/>
      <sheetData sheetId="5" refreshError="1"/>
      <sheetData sheetId="6" refreshError="1"/>
      <sheetData sheetId="7" refreshError="1"/>
      <sheetData sheetId="8">
        <row r="21">
          <cell r="D21">
            <v>3402.9161593176491</v>
          </cell>
          <cell r="E21">
            <v>6176.0080517646093</v>
          </cell>
          <cell r="F21">
            <v>5614.8860850924939</v>
          </cell>
          <cell r="G21">
            <v>5584.457972296369</v>
          </cell>
          <cell r="H21">
            <v>15305.246369222148</v>
          </cell>
          <cell r="I21">
            <v>16836.655889198973</v>
          </cell>
          <cell r="J21">
            <v>13210.603350058347</v>
          </cell>
          <cell r="K21">
            <v>13101.08125269101</v>
          </cell>
          <cell r="L21">
            <v>12983.881848712344</v>
          </cell>
          <cell r="M21">
            <v>12854.090734539761</v>
          </cell>
          <cell r="N21">
            <v>12683.142335473885</v>
          </cell>
          <cell r="O21">
            <v>13092.250499839614</v>
          </cell>
          <cell r="P21">
            <v>12077.797965154987</v>
          </cell>
          <cell r="Q21">
            <v>11874.008444452335</v>
          </cell>
          <cell r="R21">
            <v>16873.75198655956</v>
          </cell>
          <cell r="S21">
            <v>23120.118978972678</v>
          </cell>
          <cell r="T21">
            <v>23070.156805571958</v>
          </cell>
          <cell r="U21">
            <v>23269.141819099634</v>
          </cell>
          <cell r="V21">
            <v>23469.879947981157</v>
          </cell>
          <cell r="W21">
            <v>23663.852772434529</v>
          </cell>
          <cell r="X21">
            <v>0</v>
          </cell>
          <cell r="Y21">
            <v>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Project Assum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sheetData sheetId="3">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sheetData sheetId="2">
        <row r="36">
          <cell r="F36">
            <v>2</v>
          </cell>
          <cell r="G36">
            <v>4</v>
          </cell>
          <cell r="H36">
            <v>0</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15">
          <cell r="I15">
            <v>20</v>
          </cell>
        </row>
      </sheetData>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row r="19">
          <cell r="E19">
            <v>59.791591358945723</v>
          </cell>
          <cell r="F19">
            <v>237.65773416058232</v>
          </cell>
          <cell r="G19">
            <v>241.83489348085115</v>
          </cell>
          <cell r="H19">
            <v>241.25622711079166</v>
          </cell>
          <cell r="I19">
            <v>312.00190246089915</v>
          </cell>
          <cell r="J19">
            <v>367.11351917615337</v>
          </cell>
          <cell r="K19">
            <v>371.06399914470961</v>
          </cell>
          <cell r="L19">
            <v>374.97405618333437</v>
          </cell>
          <cell r="M19">
            <v>386.65380981717431</v>
          </cell>
          <cell r="N19">
            <v>390.55287681608382</v>
          </cell>
          <cell r="O19">
            <v>402.75593545842935</v>
          </cell>
          <cell r="P19">
            <v>397.05618232253119</v>
          </cell>
          <cell r="Q19">
            <v>410.55402609464767</v>
          </cell>
          <cell r="R19">
            <v>415.4820226049564</v>
          </cell>
          <cell r="S19">
            <v>420.24433171915985</v>
          </cell>
          <cell r="T19">
            <v>424.78244206139698</v>
          </cell>
          <cell r="U19">
            <v>429.5417765048644</v>
          </cell>
          <cell r="V19">
            <v>434.34694393654109</v>
          </cell>
          <cell r="W19">
            <v>439.10833755597309</v>
          </cell>
          <cell r="X19">
            <v>442.20997024054316</v>
          </cell>
          <cell r="Y19">
            <v>444.55505395487347</v>
          </cell>
          <cell r="Z19">
            <v>450.54154932879447</v>
          </cell>
        </row>
        <row r="32">
          <cell r="E32">
            <v>38.217792166695666</v>
          </cell>
          <cell r="F32">
            <v>231.67095668254663</v>
          </cell>
          <cell r="G32">
            <v>152.87116866678267</v>
          </cell>
          <cell r="H32">
            <v>152.87116866678267</v>
          </cell>
          <cell r="I32">
            <v>152.87116866678267</v>
          </cell>
          <cell r="J32">
            <v>144.81645769496484</v>
          </cell>
          <cell r="K32">
            <v>144.81645769496484</v>
          </cell>
          <cell r="L32">
            <v>144.81645769496484</v>
          </cell>
          <cell r="M32">
            <v>144.81645769496484</v>
          </cell>
          <cell r="N32">
            <v>144.81645769496484</v>
          </cell>
          <cell r="O32">
            <v>144.81645769496484</v>
          </cell>
          <cell r="P32">
            <v>130.19971542561183</v>
          </cell>
          <cell r="Q32">
            <v>124.08692857714026</v>
          </cell>
          <cell r="R32">
            <v>118.1149674206798</v>
          </cell>
          <cell r="S32">
            <v>112.15166907184665</v>
          </cell>
          <cell r="T32">
            <v>109.82213598638785</v>
          </cell>
          <cell r="U32">
            <v>107.13089780175436</v>
          </cell>
          <cell r="V32">
            <v>100.57565011259788</v>
          </cell>
          <cell r="W32">
            <v>79.735564151217289</v>
          </cell>
          <cell r="X32">
            <v>74.378170853712902</v>
          </cell>
          <cell r="Y32">
            <v>60.0297752113987</v>
          </cell>
          <cell r="Z32">
            <v>60.0297752113987</v>
          </cell>
        </row>
        <row r="39">
          <cell r="E39">
            <v>4843.1189000746035</v>
          </cell>
          <cell r="F39">
            <v>19250.276467007167</v>
          </cell>
          <cell r="G39">
            <v>19588.626371948943</v>
          </cell>
          <cell r="H39">
            <v>19541.754395974123</v>
          </cell>
          <cell r="I39">
            <v>25272.154099332831</v>
          </cell>
          <cell r="J39">
            <v>29736.195053268424</v>
          </cell>
          <cell r="K39">
            <v>30056.183930721476</v>
          </cell>
          <cell r="L39">
            <v>30372.898550850077</v>
          </cell>
          <cell r="M39">
            <v>31318.958595191118</v>
          </cell>
          <cell r="N39">
            <v>31634.783022102783</v>
          </cell>
          <cell r="O39">
            <v>32623.230772132774</v>
          </cell>
          <cell r="P39">
            <v>32161.550768125024</v>
          </cell>
          <cell r="Q39">
            <v>33254.876113666454</v>
          </cell>
          <cell r="R39">
            <v>33654.043831001465</v>
          </cell>
          <cell r="S39">
            <v>34039.790869251941</v>
          </cell>
          <cell r="T39">
            <v>34407.377806973156</v>
          </cell>
          <cell r="U39">
            <v>34792.883896894011</v>
          </cell>
          <cell r="V39">
            <v>35182.10245885983</v>
          </cell>
          <cell r="W39">
            <v>35567.775342033819</v>
          </cell>
          <cell r="X39">
            <v>35819.007589483997</v>
          </cell>
          <cell r="Y39">
            <v>36008.959370344746</v>
          </cell>
          <cell r="Z39">
            <v>36493.865495632352</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G788"/>
  <sheetViews>
    <sheetView tabSelected="1" topLeftCell="A765" workbookViewId="0">
      <selection activeCell="D794" sqref="D794"/>
    </sheetView>
  </sheetViews>
  <sheetFormatPr defaultRowHeight="11.25" outlineLevelRow="1"/>
  <cols>
    <col min="1" max="1" width="39.42578125" style="170" customWidth="1"/>
    <col min="2" max="2" width="10.28515625" style="170" customWidth="1"/>
    <col min="3" max="3" width="14.42578125" style="170" customWidth="1"/>
    <col min="4" max="4" width="12" style="14" customWidth="1"/>
    <col min="5" max="5" width="11.42578125" style="14" customWidth="1"/>
    <col min="6" max="6" width="10.85546875" style="14" customWidth="1"/>
    <col min="7" max="7" width="11.7109375" style="14" bestFit="1" customWidth="1"/>
    <col min="8" max="8" width="11" style="14" bestFit="1" customWidth="1"/>
    <col min="9" max="9" width="11.140625" style="14" bestFit="1" customWidth="1"/>
    <col min="10" max="10" width="11.42578125" style="14" bestFit="1" customWidth="1"/>
    <col min="11" max="12" width="11" style="14" bestFit="1" customWidth="1"/>
    <col min="13" max="13" width="11.42578125" style="14" bestFit="1" customWidth="1"/>
    <col min="14" max="15" width="11.140625" style="14" bestFit="1" customWidth="1"/>
    <col min="16" max="16" width="11.5703125" style="14" bestFit="1" customWidth="1"/>
    <col min="17" max="17" width="11.42578125" style="14" bestFit="1" customWidth="1"/>
    <col min="18" max="18" width="11.140625" style="14" bestFit="1" customWidth="1"/>
    <col min="19" max="20" width="11.5703125" style="14" bestFit="1" customWidth="1"/>
    <col min="21" max="22" width="11.42578125" style="14" bestFit="1" customWidth="1"/>
    <col min="23" max="23" width="11.5703125" style="14" bestFit="1" customWidth="1"/>
    <col min="24" max="24" width="11.7109375" style="14" bestFit="1" customWidth="1"/>
    <col min="25" max="25" width="11" style="14" bestFit="1" customWidth="1"/>
    <col min="26" max="26" width="11.42578125" style="14" bestFit="1" customWidth="1"/>
    <col min="27" max="16384" width="9.140625" style="14"/>
  </cols>
  <sheetData>
    <row r="1" spans="1:33" ht="20.25">
      <c r="A1" s="511" t="str">
        <f>'Project Assumptions'!A2:N2</f>
        <v>CALEDONIA, Lowndes County, MS</v>
      </c>
    </row>
    <row r="2" spans="1:33" ht="19.5">
      <c r="A2" s="162" t="s">
        <v>426</v>
      </c>
      <c r="B2" s="163"/>
      <c r="C2" s="163"/>
      <c r="D2"/>
      <c r="E2"/>
      <c r="F2"/>
      <c r="G2"/>
      <c r="H2"/>
      <c r="I2"/>
      <c r="J2"/>
      <c r="K2"/>
      <c r="L2"/>
      <c r="M2"/>
      <c r="N2"/>
      <c r="O2"/>
      <c r="P2"/>
      <c r="Q2"/>
      <c r="R2"/>
      <c r="S2"/>
      <c r="T2"/>
      <c r="U2"/>
      <c r="V2"/>
      <c r="W2"/>
      <c r="X2"/>
      <c r="Y2"/>
      <c r="Z2"/>
      <c r="AA2"/>
      <c r="AB2"/>
      <c r="AC2"/>
      <c r="AD2"/>
      <c r="AE2"/>
      <c r="AF2"/>
      <c r="AG2"/>
    </row>
    <row r="3" spans="1:33" ht="19.5">
      <c r="A3" s="162"/>
      <c r="B3" s="163"/>
      <c r="C3" s="163"/>
      <c r="D3"/>
      <c r="E3"/>
      <c r="F3"/>
      <c r="G3"/>
      <c r="H3"/>
      <c r="I3"/>
      <c r="J3"/>
      <c r="K3"/>
      <c r="L3"/>
      <c r="M3"/>
      <c r="N3"/>
      <c r="O3"/>
      <c r="P3"/>
      <c r="Q3"/>
      <c r="R3"/>
      <c r="S3"/>
      <c r="T3"/>
      <c r="U3"/>
      <c r="V3"/>
      <c r="W3"/>
      <c r="X3"/>
      <c r="Y3"/>
      <c r="Z3"/>
      <c r="AA3"/>
      <c r="AB3"/>
      <c r="AC3"/>
      <c r="AD3"/>
      <c r="AE3"/>
      <c r="AF3"/>
      <c r="AG3"/>
    </row>
    <row r="4" spans="1:33" ht="12.75">
      <c r="A4" s="591" t="s">
        <v>501</v>
      </c>
      <c r="B4" s="163"/>
      <c r="C4" s="163"/>
      <c r="D4"/>
      <c r="E4"/>
      <c r="F4"/>
      <c r="G4"/>
      <c r="H4"/>
      <c r="I4"/>
      <c r="J4"/>
      <c r="K4"/>
      <c r="L4"/>
      <c r="M4"/>
      <c r="N4"/>
      <c r="O4"/>
      <c r="P4"/>
      <c r="Q4"/>
      <c r="R4"/>
      <c r="S4"/>
      <c r="T4"/>
      <c r="U4"/>
      <c r="V4"/>
      <c r="W4"/>
      <c r="X4"/>
      <c r="Y4"/>
      <c r="Z4"/>
      <c r="AA4"/>
      <c r="AB4"/>
      <c r="AC4"/>
      <c r="AD4"/>
      <c r="AE4"/>
      <c r="AF4"/>
      <c r="AG4"/>
    </row>
    <row r="5" spans="1:33" ht="12.75">
      <c r="A5" s="164" t="s">
        <v>427</v>
      </c>
      <c r="B5" s="172">
        <f>'Project Assumptions'!I70</f>
        <v>36638.74426588315</v>
      </c>
      <c r="C5" s="163"/>
      <c r="D5"/>
      <c r="E5"/>
      <c r="F5"/>
      <c r="G5"/>
      <c r="H5"/>
      <c r="I5"/>
      <c r="J5"/>
      <c r="K5"/>
      <c r="L5"/>
      <c r="M5"/>
      <c r="N5"/>
      <c r="O5"/>
      <c r="P5"/>
      <c r="Q5"/>
      <c r="R5"/>
      <c r="S5"/>
      <c r="T5"/>
      <c r="U5"/>
      <c r="V5"/>
      <c r="W5"/>
      <c r="X5"/>
      <c r="Y5"/>
      <c r="Z5"/>
      <c r="AA5"/>
      <c r="AB5"/>
      <c r="AC5"/>
      <c r="AD5"/>
      <c r="AE5"/>
      <c r="AF5"/>
      <c r="AG5"/>
    </row>
    <row r="6" spans="1:33" ht="12.75" customHeight="1">
      <c r="A6" s="165" t="s">
        <v>428</v>
      </c>
      <c r="B6" s="173">
        <f>'Project Assumptions'!G70</f>
        <v>66435.380546092114</v>
      </c>
      <c r="C6" s="163"/>
      <c r="D6"/>
      <c r="E6"/>
      <c r="F6"/>
      <c r="G6"/>
      <c r="H6"/>
      <c r="I6"/>
      <c r="J6"/>
      <c r="K6"/>
      <c r="L6"/>
      <c r="M6"/>
      <c r="N6"/>
      <c r="O6"/>
      <c r="P6"/>
      <c r="Q6"/>
      <c r="R6"/>
      <c r="S6"/>
      <c r="T6"/>
      <c r="U6"/>
      <c r="V6"/>
      <c r="W6"/>
      <c r="X6"/>
      <c r="Y6"/>
      <c r="Z6"/>
      <c r="AA6"/>
      <c r="AB6"/>
      <c r="AC6"/>
      <c r="AD6"/>
      <c r="AE6"/>
      <c r="AF6"/>
      <c r="AG6"/>
    </row>
    <row r="7" spans="1:33" ht="15" customHeight="1">
      <c r="A7" s="166" t="s">
        <v>429</v>
      </c>
      <c r="B7" s="580" t="s">
        <v>499</v>
      </c>
      <c r="C7" s="580" t="s">
        <v>500</v>
      </c>
      <c r="D7" s="582">
        <f>'PPA Assumptions &amp; Summary'!C5</f>
        <v>1999</v>
      </c>
      <c r="E7" s="583">
        <f>'PPA Assumptions &amp; Summary'!D5</f>
        <v>2000</v>
      </c>
      <c r="F7" s="583">
        <f>'PPA Assumptions &amp; Summary'!E5</f>
        <v>2001</v>
      </c>
      <c r="G7" s="583">
        <f>'PPA Assumptions &amp; Summary'!F5</f>
        <v>2002</v>
      </c>
      <c r="H7" s="583">
        <f>'PPA Assumptions &amp; Summary'!G5</f>
        <v>2003</v>
      </c>
      <c r="I7" s="583">
        <f>'PPA Assumptions &amp; Summary'!H5</f>
        <v>2004</v>
      </c>
      <c r="J7" s="583">
        <f>'PPA Assumptions &amp; Summary'!I5</f>
        <v>2005</v>
      </c>
      <c r="K7" s="583">
        <f>'PPA Assumptions &amp; Summary'!J5</f>
        <v>2006</v>
      </c>
      <c r="L7" s="583">
        <f>'PPA Assumptions &amp; Summary'!K5</f>
        <v>2007</v>
      </c>
      <c r="M7" s="583">
        <f>'PPA Assumptions &amp; Summary'!L5</f>
        <v>2008</v>
      </c>
      <c r="N7" s="583">
        <f>'PPA Assumptions &amp; Summary'!M5</f>
        <v>2009</v>
      </c>
      <c r="O7" s="584">
        <f>'PPA Assumptions &amp; Summary'!N5</f>
        <v>2010</v>
      </c>
      <c r="P7" s="171">
        <f>'PPA Assumptions &amp; Summary'!O5</f>
        <v>2011</v>
      </c>
      <c r="Q7" s="171">
        <f>'PPA Assumptions &amp; Summary'!P5</f>
        <v>2012</v>
      </c>
      <c r="R7" s="171">
        <f>'PPA Assumptions &amp; Summary'!Q5</f>
        <v>2013</v>
      </c>
      <c r="S7" s="171">
        <f>'PPA Assumptions &amp; Summary'!R5</f>
        <v>2014</v>
      </c>
      <c r="T7" s="171">
        <f>'PPA Assumptions &amp; Summary'!S5</f>
        <v>2015</v>
      </c>
      <c r="U7" s="171">
        <f>'PPA Assumptions &amp; Summary'!T5</f>
        <v>2016</v>
      </c>
      <c r="V7" s="171">
        <f>'PPA Assumptions &amp; Summary'!U5</f>
        <v>2017</v>
      </c>
      <c r="W7" s="171">
        <f>'PPA Assumptions &amp; Summary'!V5</f>
        <v>2018</v>
      </c>
      <c r="X7" s="171">
        <f>'PPA Assumptions &amp; Summary'!W5</f>
        <v>2019</v>
      </c>
      <c r="Y7" s="171">
        <f>'PPA Assumptions &amp; Summary'!X5</f>
        <v>2020</v>
      </c>
      <c r="Z7"/>
      <c r="AA7"/>
      <c r="AB7"/>
      <c r="AC7"/>
      <c r="AD7"/>
      <c r="AE7"/>
      <c r="AF7"/>
      <c r="AG7"/>
    </row>
    <row r="8" spans="1:33" ht="11.25" customHeight="1">
      <c r="A8" s="166" t="s">
        <v>430</v>
      </c>
      <c r="B8" s="581">
        <f>NPV(0.1,D8:Y8)</f>
        <v>418867.16558122361</v>
      </c>
      <c r="C8" s="581">
        <v>0</v>
      </c>
      <c r="D8" s="585">
        <f>'Book Income Statement'!D17</f>
        <v>26898.216959999994</v>
      </c>
      <c r="E8" s="586">
        <f>'Book Income Statement'!E17</f>
        <v>40079.915814977372</v>
      </c>
      <c r="F8" s="586">
        <f>'Book Income Statement'!F17</f>
        <v>40673.161342217194</v>
      </c>
      <c r="G8" s="586">
        <f>'Book Income Statement'!G17</f>
        <v>40731.64097768371</v>
      </c>
      <c r="H8" s="586">
        <f>'Book Income Statement'!H17</f>
        <v>47605.84011425489</v>
      </c>
      <c r="I8" s="586">
        <f>'Book Income Statement'!I17</f>
        <v>52769.765885234337</v>
      </c>
      <c r="J8" s="586">
        <f>'Book Income Statement'!J17</f>
        <v>53213.775120657876</v>
      </c>
      <c r="K8" s="586">
        <f>'Book Income Statement'!K17</f>
        <v>53653.259503785877</v>
      </c>
      <c r="L8" s="586">
        <f>'Book Income Statement'!L17</f>
        <v>54718.611193040255</v>
      </c>
      <c r="M8" s="586">
        <f>'Book Income Statement'!M17</f>
        <v>55165.928277364612</v>
      </c>
      <c r="N8" s="586">
        <f>'Book Income Statement'!N17</f>
        <v>56276.660029826366</v>
      </c>
      <c r="O8" s="587">
        <f>'Book Income Statement'!O17</f>
        <v>56731.133874277803</v>
      </c>
      <c r="P8" s="167">
        <f>'Book Income Statement'!P17</f>
        <v>57888.82179464693</v>
      </c>
      <c r="Q8" s="167">
        <f>'Book Income Statement'!Q17</f>
        <v>58349.665078533413</v>
      </c>
      <c r="R8" s="167">
        <f>'Book Income Statement'!R17</f>
        <v>58802.386402713681</v>
      </c>
      <c r="S8" s="167">
        <f>'Book Income Statement'!S17</f>
        <v>59246.083690649852</v>
      </c>
      <c r="T8" s="167">
        <f>'Book Income Statement'!T17</f>
        <v>59679.808050975516</v>
      </c>
      <c r="U8" s="167">
        <f>'Book Income Statement'!U17</f>
        <v>60102.561780474927</v>
      </c>
      <c r="V8" s="167">
        <f>'Book Income Statement'!V17</f>
        <v>60513.296289374215</v>
      </c>
      <c r="W8" s="167">
        <f>'Book Income Statement'!W17</f>
        <v>60910.909946080785</v>
      </c>
      <c r="X8" s="167">
        <f>'Book Income Statement'!X17</f>
        <v>61294.245838405084</v>
      </c>
      <c r="Y8" s="167">
        <f>'Book Income Statement'!Y17</f>
        <v>0</v>
      </c>
      <c r="Z8"/>
      <c r="AA8"/>
      <c r="AB8"/>
      <c r="AC8"/>
      <c r="AD8"/>
      <c r="AE8"/>
      <c r="AF8"/>
      <c r="AG8"/>
    </row>
    <row r="9" spans="1:33" ht="12.75" outlineLevel="1">
      <c r="A9" s="168" t="s">
        <v>431</v>
      </c>
      <c r="B9" s="581">
        <f>NPV(0.1,D9:Y9)</f>
        <v>196948.66441769307</v>
      </c>
      <c r="C9" s="581">
        <v>0</v>
      </c>
      <c r="D9" s="585">
        <f>'Book Income Statement'!D58</f>
        <v>18832.90043852941</v>
      </c>
      <c r="E9" s="586">
        <f>'Book Income Statement'!E58</f>
        <v>20844.487525016189</v>
      </c>
      <c r="F9" s="586">
        <f>'Book Income Statement'!F58</f>
        <v>21182.181076477184</v>
      </c>
      <c r="G9" s="586">
        <f>'Book Income Statement'!G58</f>
        <v>21286.775003375376</v>
      </c>
      <c r="H9" s="586">
        <f>'Book Income Statement'!H58</f>
        <v>22536.046384290814</v>
      </c>
      <c r="I9" s="586">
        <f>'Book Income Statement'!I58</f>
        <v>23320.562652051376</v>
      </c>
      <c r="J9" s="586">
        <f>'Book Income Statement'!J58</f>
        <v>23450.050954769176</v>
      </c>
      <c r="K9" s="586">
        <f>'Book Income Statement'!K58</f>
        <v>23578.209624987991</v>
      </c>
      <c r="L9" s="586">
        <f>'Book Income Statement'!L58</f>
        <v>23710.712295039164</v>
      </c>
      <c r="M9" s="586">
        <f>'Book Income Statement'!M58</f>
        <v>23847.689284917666</v>
      </c>
      <c r="N9" s="586">
        <f>'Book Income Statement'!N58</f>
        <v>23983.727716153928</v>
      </c>
      <c r="O9" s="587">
        <f>'Book Income Statement'!O58</f>
        <v>24923.296514566449</v>
      </c>
      <c r="P9" s="167">
        <f>'Book Income Statement'!P58</f>
        <v>25007.952773081255</v>
      </c>
      <c r="Q9" s="167">
        <f>'Book Income Statement'!Q58</f>
        <v>25081.003593787318</v>
      </c>
      <c r="R9" s="167">
        <f>'Book Income Statement'!R58</f>
        <v>25159.241377469338</v>
      </c>
      <c r="S9" s="167">
        <f>'Book Income Statement'!S58</f>
        <v>25242.821733016579</v>
      </c>
      <c r="T9" s="167">
        <f>'Book Income Statement'!T58</f>
        <v>25298.622289198698</v>
      </c>
      <c r="U9" s="167">
        <f>'Book Income Statement'!U58</f>
        <v>25343.449455679485</v>
      </c>
      <c r="V9" s="167">
        <f>'Book Income Statement'!V58</f>
        <v>25394.114594686842</v>
      </c>
      <c r="W9" s="167">
        <f>'Book Income Statement'!W58</f>
        <v>25550.64079055551</v>
      </c>
      <c r="X9" s="167">
        <f>'Book Income Statement'!X58</f>
        <v>25763.28446405708</v>
      </c>
      <c r="Y9" s="167">
        <f>'Book Income Statement'!Y58</f>
        <v>0</v>
      </c>
      <c r="Z9"/>
      <c r="AA9"/>
      <c r="AB9"/>
      <c r="AC9"/>
      <c r="AD9"/>
      <c r="AE9"/>
      <c r="AF9"/>
      <c r="AG9"/>
    </row>
    <row r="10" spans="1:33" ht="12.75" outlineLevel="1">
      <c r="A10" s="168" t="s">
        <v>34</v>
      </c>
      <c r="B10" s="581">
        <f>NPV(0.1,D10:Y10)</f>
        <v>80334.920399300318</v>
      </c>
      <c r="C10" s="581">
        <v>0</v>
      </c>
      <c r="D10" s="585">
        <f>'Book Income Statement'!D72</f>
        <v>-1929.1903849251476</v>
      </c>
      <c r="E10" s="586">
        <f>'Book Income Statement'!E72</f>
        <v>3368.3666785641685</v>
      </c>
      <c r="F10" s="586">
        <f>'Book Income Statement'!F72</f>
        <v>3692.9568969206375</v>
      </c>
      <c r="G10" s="586">
        <f>'Book Income Statement'!G72</f>
        <v>3942.9934901745892</v>
      </c>
      <c r="H10" s="586">
        <f>'Book Income Statement'!H72</f>
        <v>7820.3069347059773</v>
      </c>
      <c r="I10" s="586">
        <f>'Book Income Statement'!I72</f>
        <v>10941.502354846611</v>
      </c>
      <c r="J10" s="586">
        <f>'Book Income Statement'!J72</f>
        <v>11583.416825541726</v>
      </c>
      <c r="K10" s="586">
        <f>'Book Income Statement'!K72</f>
        <v>12037.974688784665</v>
      </c>
      <c r="L10" s="586">
        <f>'Book Income Statement'!L72</f>
        <v>12881.12057668462</v>
      </c>
      <c r="M10" s="586">
        <f>'Book Income Statement'!M72</f>
        <v>13498.33227558394</v>
      </c>
      <c r="N10" s="586">
        <f>'Book Income Statement'!N72</f>
        <v>14644.758809013891</v>
      </c>
      <c r="O10" s="587">
        <f>'Book Income Statement'!O72</f>
        <v>14470.323184767034</v>
      </c>
      <c r="P10" s="167">
        <f>'Book Income Statement'!P72</f>
        <v>15302.271244727015</v>
      </c>
      <c r="Q10" s="167">
        <f>'Book Income Statement'!Q72</f>
        <v>15705.7949094411</v>
      </c>
      <c r="R10" s="167">
        <f>'Book Income Statement'!R72</f>
        <v>16100.997586151989</v>
      </c>
      <c r="S10" s="167">
        <f>'Book Income Statement'!S72</f>
        <v>16487.21799009903</v>
      </c>
      <c r="T10" s="167">
        <f>'Book Income Statement'!T72</f>
        <v>16884.571584145902</v>
      </c>
      <c r="U10" s="167">
        <f>'Book Income Statement'!U72</f>
        <v>17442.995448718197</v>
      </c>
      <c r="V10" s="167">
        <f>'Book Income Statement'!V72</f>
        <v>18054.682079575323</v>
      </c>
      <c r="W10" s="167">
        <f>'Book Income Statement'!W72</f>
        <v>18688.620117356069</v>
      </c>
      <c r="X10" s="167">
        <f>'Book Income Statement'!X72</f>
        <v>19358.963825251474</v>
      </c>
      <c r="Y10" s="167">
        <f>'Book Income Statement'!Y72</f>
        <v>0</v>
      </c>
      <c r="Z10"/>
      <c r="AA10"/>
      <c r="AB10"/>
      <c r="AC10"/>
      <c r="AD10"/>
      <c r="AE10"/>
      <c r="AF10"/>
      <c r="AG10"/>
    </row>
    <row r="11" spans="1:33" ht="12.75" outlineLevel="1">
      <c r="A11" s="168" t="s">
        <v>31</v>
      </c>
      <c r="B11" s="581">
        <f>NPV(0.1,D11:Y11)</f>
        <v>83715.677307326638</v>
      </c>
      <c r="C11" s="581">
        <v>0</v>
      </c>
      <c r="D11" s="588">
        <f>'Cash Flow Statement'!D22</f>
        <v>-5718.3348220110347</v>
      </c>
      <c r="E11" s="589">
        <f>'Cash Flow Statement'!E22</f>
        <v>3459.9728419598159</v>
      </c>
      <c r="F11" s="589">
        <f>'Cash Flow Statement'!F22</f>
        <v>4731.4671029329893</v>
      </c>
      <c r="G11" s="589">
        <f>'Cash Flow Statement'!G22</f>
        <v>3389.9846628584201</v>
      </c>
      <c r="H11" s="589">
        <f>'Cash Flow Statement'!H22</f>
        <v>13139.534775459859</v>
      </c>
      <c r="I11" s="589">
        <f>'Cash Flow Statement'!I22</f>
        <v>16843.553621887157</v>
      </c>
      <c r="J11" s="589">
        <f>'Cash Flow Statement'!J22</f>
        <v>12517.02714793296</v>
      </c>
      <c r="K11" s="589">
        <f>'Cash Flow Statement'!K22</f>
        <v>12967.986479899511</v>
      </c>
      <c r="L11" s="589">
        <f>'Cash Flow Statement'!L22</f>
        <v>10312.711791011465</v>
      </c>
      <c r="M11" s="589">
        <f>'Cash Flow Statement'!M22</f>
        <v>8551.3940666987855</v>
      </c>
      <c r="N11" s="589">
        <f>'Cash Flow Statement'!N22</f>
        <v>18418.652915276347</v>
      </c>
      <c r="O11" s="590">
        <f>'Cash Flow Statement'!O22</f>
        <v>18410.87142908894</v>
      </c>
      <c r="P11" s="167">
        <f>'Cash Flow Statement'!P22</f>
        <v>18377.397162281239</v>
      </c>
      <c r="Q11" s="167">
        <f>'Cash Flow Statement'!Q22</f>
        <v>18769.900079590167</v>
      </c>
      <c r="R11" s="167">
        <f>'Cash Flow Statement'!R22</f>
        <v>19159.482179513059</v>
      </c>
      <c r="S11" s="167">
        <f>'Cash Flow Statement'!S22</f>
        <v>17853.6664310001</v>
      </c>
      <c r="T11" s="167">
        <f>'Cash Flow Statement'!T22</f>
        <v>13303.214724200661</v>
      </c>
      <c r="U11" s="167">
        <f>'Cash Flow Statement'!U22</f>
        <v>12535.646014579801</v>
      </c>
      <c r="V11" s="167">
        <f>'Cash Flow Statement'!V22</f>
        <v>11234.082645436923</v>
      </c>
      <c r="W11" s="167">
        <f>'Cash Flow Statement'!W22</f>
        <v>10692.368628376611</v>
      </c>
      <c r="X11" s="167">
        <f>'Cash Flow Statement'!X22</f>
        <v>22214.623256768144</v>
      </c>
      <c r="Y11" s="167">
        <f>'Cash Flow Statement'!Y22</f>
        <v>0</v>
      </c>
      <c r="Z11"/>
      <c r="AA11"/>
      <c r="AB11"/>
      <c r="AC11"/>
      <c r="AD11"/>
      <c r="AE11"/>
      <c r="AF11"/>
      <c r="AG11"/>
    </row>
    <row r="12" spans="1:33" ht="12.75" outlineLevel="1">
      <c r="A12" s="169"/>
      <c r="B12" s="163"/>
      <c r="C12" s="163"/>
      <c r="D12"/>
      <c r="E12"/>
      <c r="F12"/>
      <c r="G12"/>
      <c r="H12"/>
      <c r="I12"/>
      <c r="J12"/>
      <c r="K12"/>
      <c r="L12"/>
      <c r="M12"/>
      <c r="N12"/>
      <c r="O12"/>
      <c r="P12"/>
      <c r="Q12"/>
      <c r="R12"/>
      <c r="S12"/>
      <c r="T12"/>
      <c r="U12"/>
      <c r="V12"/>
      <c r="W12"/>
      <c r="X12"/>
      <c r="Y12"/>
      <c r="Z12"/>
      <c r="AA12"/>
      <c r="AB12"/>
      <c r="AC12"/>
      <c r="AD12"/>
      <c r="AE12"/>
      <c r="AF12"/>
      <c r="AG12"/>
    </row>
    <row r="13" spans="1:33" ht="12.75" outlineLevel="1">
      <c r="A13" s="169" t="s">
        <v>432</v>
      </c>
      <c r="B13" s="163"/>
      <c r="C13" s="163"/>
      <c r="D13"/>
      <c r="E13"/>
      <c r="F13"/>
      <c r="G13"/>
      <c r="H13"/>
      <c r="I13"/>
      <c r="J13"/>
      <c r="K13"/>
      <c r="L13"/>
      <c r="M13"/>
      <c r="N13"/>
      <c r="O13"/>
      <c r="P13"/>
      <c r="Q13"/>
      <c r="R13"/>
      <c r="S13"/>
      <c r="T13"/>
      <c r="U13"/>
      <c r="V13"/>
      <c r="W13"/>
      <c r="X13"/>
      <c r="Y13"/>
      <c r="Z13"/>
      <c r="AA13"/>
      <c r="AB13"/>
      <c r="AC13"/>
      <c r="AD13"/>
      <c r="AE13"/>
      <c r="AF13"/>
      <c r="AG13"/>
    </row>
    <row r="14" spans="1:33" ht="12.75" outlineLevel="1">
      <c r="A14" s="163"/>
      <c r="B14" s="163"/>
      <c r="C14" s="163"/>
      <c r="D14"/>
      <c r="E14"/>
      <c r="F14"/>
      <c r="G14"/>
      <c r="H14"/>
      <c r="I14"/>
      <c r="J14"/>
      <c r="K14"/>
      <c r="L14"/>
      <c r="M14"/>
      <c r="N14"/>
      <c r="O14"/>
      <c r="P14"/>
      <c r="Q14"/>
      <c r="R14"/>
      <c r="S14"/>
      <c r="T14"/>
      <c r="U14"/>
      <c r="V14"/>
      <c r="W14"/>
      <c r="X14"/>
      <c r="Y14"/>
      <c r="Z14"/>
      <c r="AA14"/>
      <c r="AB14"/>
      <c r="AC14"/>
      <c r="AD14"/>
      <c r="AE14"/>
      <c r="AF14"/>
      <c r="AG14"/>
    </row>
    <row r="15" spans="1:33" ht="12.75" outlineLevel="1">
      <c r="A15" s="164" t="s">
        <v>427</v>
      </c>
      <c r="B15" s="172">
        <f>'[3]Project Assumptions'!$I$64</f>
        <v>36532.458062909303</v>
      </c>
      <c r="C15" s="163" t="s">
        <v>533</v>
      </c>
      <c r="D15"/>
      <c r="E15"/>
      <c r="F15"/>
      <c r="G15"/>
      <c r="H15"/>
      <c r="I15"/>
      <c r="J15"/>
      <c r="K15"/>
      <c r="L15"/>
      <c r="M15"/>
      <c r="N15"/>
      <c r="O15"/>
      <c r="P15"/>
      <c r="Q15"/>
      <c r="R15"/>
      <c r="S15"/>
      <c r="T15"/>
      <c r="U15"/>
      <c r="V15"/>
      <c r="W15"/>
      <c r="X15"/>
      <c r="Y15"/>
      <c r="Z15"/>
      <c r="AA15"/>
      <c r="AB15"/>
      <c r="AC15"/>
      <c r="AD15"/>
      <c r="AE15"/>
      <c r="AF15"/>
      <c r="AG15"/>
    </row>
    <row r="16" spans="1:33" ht="12.75" outlineLevel="1">
      <c r="A16" s="165" t="s">
        <v>428</v>
      </c>
      <c r="B16" s="579">
        <v>71451.117867096793</v>
      </c>
      <c r="C16" s="163"/>
      <c r="D16"/>
      <c r="E16"/>
      <c r="F16"/>
      <c r="G16"/>
      <c r="H16"/>
      <c r="I16"/>
      <c r="J16"/>
      <c r="K16"/>
      <c r="L16"/>
      <c r="M16"/>
      <c r="N16"/>
      <c r="O16"/>
      <c r="P16"/>
      <c r="Q16"/>
      <c r="R16"/>
      <c r="S16"/>
      <c r="T16"/>
      <c r="U16"/>
      <c r="V16"/>
      <c r="W16"/>
      <c r="X16"/>
      <c r="Y16"/>
      <c r="Z16"/>
      <c r="AA16"/>
      <c r="AB16"/>
      <c r="AC16"/>
      <c r="AD16"/>
      <c r="AE16"/>
      <c r="AF16"/>
      <c r="AG16"/>
    </row>
    <row r="17" spans="1:33" ht="12.75" outlineLevel="1">
      <c r="A17" s="166" t="s">
        <v>429</v>
      </c>
      <c r="B17" s="580" t="s">
        <v>499</v>
      </c>
      <c r="C17" s="580" t="s">
        <v>500</v>
      </c>
      <c r="D17" s="582">
        <v>1999</v>
      </c>
      <c r="E17" s="583">
        <v>2000</v>
      </c>
      <c r="F17" s="583">
        <v>2001</v>
      </c>
      <c r="G17" s="583">
        <v>2002</v>
      </c>
      <c r="H17" s="583">
        <v>2003</v>
      </c>
      <c r="I17" s="583">
        <v>2004</v>
      </c>
      <c r="J17" s="583">
        <v>2005</v>
      </c>
      <c r="K17" s="583">
        <v>2006</v>
      </c>
      <c r="L17" s="583">
        <v>2007</v>
      </c>
      <c r="M17" s="583">
        <v>2008</v>
      </c>
      <c r="N17" s="583">
        <v>2009</v>
      </c>
      <c r="O17" s="584">
        <v>2010</v>
      </c>
      <c r="P17" s="171">
        <v>2011</v>
      </c>
      <c r="Q17" s="171">
        <v>2012</v>
      </c>
      <c r="R17" s="171">
        <v>2013</v>
      </c>
      <c r="S17" s="171">
        <v>2014</v>
      </c>
      <c r="T17" s="171">
        <v>2015</v>
      </c>
      <c r="U17" s="171">
        <v>2016</v>
      </c>
      <c r="V17" s="171">
        <v>2017</v>
      </c>
      <c r="W17" s="171">
        <v>2018</v>
      </c>
      <c r="X17" s="171">
        <v>2019</v>
      </c>
      <c r="Y17" s="171">
        <v>2020</v>
      </c>
      <c r="Z17"/>
      <c r="AA17"/>
      <c r="AB17"/>
      <c r="AC17"/>
      <c r="AD17"/>
      <c r="AE17"/>
      <c r="AF17"/>
      <c r="AG17"/>
    </row>
    <row r="18" spans="1:33" ht="12.75" outlineLevel="1">
      <c r="A18" s="166" t="s">
        <v>430</v>
      </c>
      <c r="B18" s="581">
        <f>NPV(0.1,D18:Y18)</f>
        <v>430825.21646559244</v>
      </c>
      <c r="C18" s="581">
        <f>B18-B8</f>
        <v>11958.050884368829</v>
      </c>
      <c r="D18" s="585">
        <v>26519.796349873624</v>
      </c>
      <c r="E18" s="586">
        <v>36688.066009859103</v>
      </c>
      <c r="F18" s="586">
        <v>36966.993966200112</v>
      </c>
      <c r="G18" s="586">
        <v>37199.774695251421</v>
      </c>
      <c r="H18" s="586">
        <v>46623.054258092896</v>
      </c>
      <c r="I18" s="586">
        <v>54441.93966574988</v>
      </c>
      <c r="J18" s="586">
        <v>55849.93676902452</v>
      </c>
      <c r="K18" s="586">
        <v>56914.538505303368</v>
      </c>
      <c r="L18" s="586">
        <v>58094.468665238099</v>
      </c>
      <c r="M18" s="586">
        <v>59389.094769649761</v>
      </c>
      <c r="N18" s="586">
        <v>60833.886539460123</v>
      </c>
      <c r="O18" s="587">
        <v>62431.424568176117</v>
      </c>
      <c r="P18" s="167">
        <v>64321.182827231656</v>
      </c>
      <c r="Q18" s="167">
        <v>66298.299035435659</v>
      </c>
      <c r="R18" s="167">
        <v>68355.75621722803</v>
      </c>
      <c r="S18" s="167">
        <v>70456.941810033401</v>
      </c>
      <c r="T18" s="167">
        <v>72583.610676029464</v>
      </c>
      <c r="U18" s="167">
        <v>74401.585079345663</v>
      </c>
      <c r="V18" s="167">
        <v>76181.066875541248</v>
      </c>
      <c r="W18" s="167">
        <v>77956.712937631281</v>
      </c>
      <c r="X18" s="167">
        <v>0</v>
      </c>
      <c r="Y18" s="167">
        <v>0</v>
      </c>
      <c r="Z18"/>
      <c r="AA18"/>
      <c r="AB18"/>
      <c r="AC18"/>
      <c r="AD18"/>
      <c r="AE18"/>
      <c r="AF18"/>
      <c r="AG18"/>
    </row>
    <row r="19" spans="1:33" ht="12.75" outlineLevel="1">
      <c r="A19" s="168" t="s">
        <v>431</v>
      </c>
      <c r="B19" s="581">
        <f>NPV(0.1,D19:Y19)</f>
        <v>204858.01854165501</v>
      </c>
      <c r="C19" s="581">
        <f>B19-B9</f>
        <v>7909.3541239619371</v>
      </c>
      <c r="D19" s="585">
        <v>16747.436042373629</v>
      </c>
      <c r="E19" s="586">
        <v>20539.175971318655</v>
      </c>
      <c r="F19" s="586">
        <v>20873.562967685768</v>
      </c>
      <c r="G19" s="586">
        <v>21163.793360183081</v>
      </c>
      <c r="H19" s="586">
        <v>21526.239012933704</v>
      </c>
      <c r="I19" s="586">
        <v>21970.175616165394</v>
      </c>
      <c r="J19" s="586">
        <v>22495.682534555948</v>
      </c>
      <c r="K19" s="586">
        <v>23133.53147979809</v>
      </c>
      <c r="L19" s="586">
        <v>23892.539414414849</v>
      </c>
      <c r="M19" s="586">
        <v>24772.793062332479</v>
      </c>
      <c r="N19" s="586">
        <v>25805.071715269645</v>
      </c>
      <c r="O19" s="587">
        <v>27782.64546908089</v>
      </c>
      <c r="P19" s="167">
        <v>29076.79553069239</v>
      </c>
      <c r="Q19" s="167">
        <v>30443.370124315414</v>
      </c>
      <c r="R19" s="167">
        <v>31892.241942603792</v>
      </c>
      <c r="S19" s="167">
        <v>33387.377035400721</v>
      </c>
      <c r="T19" s="167">
        <v>34878.45661150894</v>
      </c>
      <c r="U19" s="167">
        <v>36373.391549527536</v>
      </c>
      <c r="V19" s="167">
        <v>37853.814203426475</v>
      </c>
      <c r="W19" s="167">
        <v>39454.034291708951</v>
      </c>
      <c r="X19" s="167">
        <v>0</v>
      </c>
      <c r="Y19" s="167">
        <v>0</v>
      </c>
      <c r="Z19"/>
      <c r="AA19"/>
      <c r="AB19"/>
      <c r="AC19"/>
      <c r="AD19"/>
      <c r="AE19"/>
      <c r="AF19"/>
      <c r="AG19"/>
    </row>
    <row r="20" spans="1:33" ht="12.75" outlineLevel="1">
      <c r="A20" s="168" t="s">
        <v>34</v>
      </c>
      <c r="B20" s="581">
        <f>NPV(0.1,D20:Y20)</f>
        <v>84452.494281448307</v>
      </c>
      <c r="C20" s="581">
        <f>B20-B10</f>
        <v>4117.5738821479899</v>
      </c>
      <c r="D20" s="585">
        <v>1131.438062635513</v>
      </c>
      <c r="E20" s="586">
        <v>1653.76491608571</v>
      </c>
      <c r="F20" s="586">
        <v>1755.9011379952437</v>
      </c>
      <c r="G20" s="586">
        <v>1853.6102608629747</v>
      </c>
      <c r="H20" s="586">
        <v>7456.7624365753936</v>
      </c>
      <c r="I20" s="586">
        <v>12270.78689472644</v>
      </c>
      <c r="J20" s="586">
        <v>13193.404781710429</v>
      </c>
      <c r="K20" s="586">
        <v>13759.375705041299</v>
      </c>
      <c r="L20" s="586">
        <v>14375.845965737577</v>
      </c>
      <c r="M20" s="586">
        <v>15024.834313541241</v>
      </c>
      <c r="N20" s="586">
        <v>15712.02430309951</v>
      </c>
      <c r="O20" s="587">
        <v>15929.609856199735</v>
      </c>
      <c r="P20" s="167">
        <v>16802.492423638676</v>
      </c>
      <c r="Q20" s="167">
        <v>17736.459231333174</v>
      </c>
      <c r="R20" s="167">
        <v>18575.936510218176</v>
      </c>
      <c r="S20" s="167">
        <v>19622.692787740431</v>
      </c>
      <c r="T20" s="167">
        <v>20039.388419680618</v>
      </c>
      <c r="U20" s="167">
        <v>20246.143751188254</v>
      </c>
      <c r="V20" s="167">
        <v>20438.30958709339</v>
      </c>
      <c r="W20" s="167">
        <v>20525.654452832277</v>
      </c>
      <c r="X20" s="167">
        <v>0</v>
      </c>
      <c r="Y20" s="167">
        <v>0</v>
      </c>
      <c r="Z20"/>
      <c r="AA20"/>
      <c r="AB20"/>
      <c r="AC20"/>
      <c r="AD20"/>
      <c r="AE20"/>
      <c r="AF20"/>
      <c r="AG20"/>
    </row>
    <row r="21" spans="1:33" ht="12.75" outlineLevel="1">
      <c r="A21" s="168" t="s">
        <v>31</v>
      </c>
      <c r="B21" s="581">
        <f>NPV(0.1,D21:Y21)</f>
        <v>99008.61291532316</v>
      </c>
      <c r="C21" s="581">
        <f>B21-B11</f>
        <v>15292.935607996522</v>
      </c>
      <c r="D21" s="588">
        <f>'[3]Cash Flow Statement'!D21</f>
        <v>3402.9161593176491</v>
      </c>
      <c r="E21" s="589">
        <f>'[3]Cash Flow Statement'!E21</f>
        <v>6176.0080517646093</v>
      </c>
      <c r="F21" s="589">
        <f>'[3]Cash Flow Statement'!F21</f>
        <v>5614.8860850924939</v>
      </c>
      <c r="G21" s="589">
        <f>'[3]Cash Flow Statement'!G21</f>
        <v>5584.457972296369</v>
      </c>
      <c r="H21" s="589">
        <f>'[3]Cash Flow Statement'!H21</f>
        <v>15305.246369222148</v>
      </c>
      <c r="I21" s="589">
        <f>'[3]Cash Flow Statement'!I21</f>
        <v>16836.655889198973</v>
      </c>
      <c r="J21" s="589">
        <f>'[3]Cash Flow Statement'!J21</f>
        <v>13210.603350058347</v>
      </c>
      <c r="K21" s="589">
        <f>'[3]Cash Flow Statement'!K21</f>
        <v>13101.08125269101</v>
      </c>
      <c r="L21" s="589">
        <f>'[3]Cash Flow Statement'!L21</f>
        <v>12983.881848712344</v>
      </c>
      <c r="M21" s="589">
        <f>'[3]Cash Flow Statement'!M21</f>
        <v>12854.090734539761</v>
      </c>
      <c r="N21" s="589">
        <f>'[3]Cash Flow Statement'!N21</f>
        <v>12683.142335473885</v>
      </c>
      <c r="O21" s="590">
        <f>'[3]Cash Flow Statement'!O21</f>
        <v>13092.250499839614</v>
      </c>
      <c r="P21" s="589">
        <f>'[3]Cash Flow Statement'!P21</f>
        <v>12077.797965154987</v>
      </c>
      <c r="Q21" s="589">
        <f>'[3]Cash Flow Statement'!Q21</f>
        <v>11874.008444452335</v>
      </c>
      <c r="R21" s="589">
        <f>'[3]Cash Flow Statement'!R21</f>
        <v>16873.75198655956</v>
      </c>
      <c r="S21" s="589">
        <f>'[3]Cash Flow Statement'!S21</f>
        <v>23120.118978972678</v>
      </c>
      <c r="T21" s="589">
        <f>'[3]Cash Flow Statement'!T21</f>
        <v>23070.156805571958</v>
      </c>
      <c r="U21" s="589">
        <f>'[3]Cash Flow Statement'!U21</f>
        <v>23269.141819099634</v>
      </c>
      <c r="V21" s="589">
        <f>'[3]Cash Flow Statement'!V21</f>
        <v>23469.879947981157</v>
      </c>
      <c r="W21" s="589">
        <f>'[3]Cash Flow Statement'!W21</f>
        <v>23663.852772434529</v>
      </c>
      <c r="X21" s="589">
        <f>'[3]Cash Flow Statement'!X21</f>
        <v>0</v>
      </c>
      <c r="Y21" s="589">
        <f>'[3]Cash Flow Statement'!Y21</f>
        <v>0</v>
      </c>
      <c r="Z21"/>
      <c r="AA21"/>
      <c r="AB21"/>
      <c r="AC21"/>
      <c r="AD21"/>
      <c r="AE21"/>
      <c r="AF21"/>
      <c r="AG21"/>
    </row>
    <row r="22" spans="1:33" ht="12.75" outlineLevel="1">
      <c r="A22" s="163"/>
      <c r="B22" s="163"/>
      <c r="C22" s="163"/>
      <c r="D22"/>
      <c r="E22"/>
      <c r="F22"/>
      <c r="G22"/>
      <c r="H22"/>
      <c r="I22"/>
      <c r="J22"/>
      <c r="K22"/>
      <c r="L22"/>
      <c r="M22"/>
      <c r="N22"/>
      <c r="O22"/>
      <c r="P22"/>
      <c r="Q22"/>
      <c r="R22"/>
      <c r="S22"/>
      <c r="T22"/>
      <c r="U22"/>
      <c r="V22"/>
      <c r="W22"/>
      <c r="X22"/>
      <c r="Y22"/>
      <c r="Z22"/>
      <c r="AA22"/>
      <c r="AB22"/>
      <c r="AC22"/>
      <c r="AD22"/>
      <c r="AE22"/>
      <c r="AF22"/>
      <c r="AG22"/>
    </row>
    <row r="23" spans="1:33" ht="12.75" outlineLevel="1">
      <c r="A23" s="169" t="s">
        <v>450</v>
      </c>
      <c r="B23" s="163"/>
      <c r="C23" s="163"/>
      <c r="D23"/>
      <c r="E23"/>
      <c r="F23"/>
      <c r="G23"/>
      <c r="H23"/>
      <c r="I23"/>
      <c r="J23"/>
      <c r="K23"/>
      <c r="L23"/>
      <c r="M23"/>
      <c r="N23"/>
      <c r="O23"/>
      <c r="P23"/>
      <c r="Q23"/>
      <c r="R23"/>
      <c r="S23"/>
      <c r="T23"/>
      <c r="U23"/>
      <c r="V23"/>
      <c r="W23"/>
      <c r="X23"/>
      <c r="Y23"/>
      <c r="Z23"/>
      <c r="AA23"/>
      <c r="AB23"/>
      <c r="AC23"/>
      <c r="AD23"/>
      <c r="AE23"/>
      <c r="AF23"/>
      <c r="AG23"/>
    </row>
    <row r="24" spans="1:33" ht="12.75" outlineLevel="1">
      <c r="A24" s="163"/>
      <c r="B24" s="163"/>
      <c r="C24" s="163"/>
      <c r="D24"/>
      <c r="E24"/>
      <c r="F24"/>
      <c r="G24"/>
      <c r="H24"/>
      <c r="I24"/>
      <c r="J24"/>
      <c r="K24"/>
      <c r="L24"/>
      <c r="M24"/>
      <c r="N24"/>
      <c r="O24"/>
      <c r="P24"/>
      <c r="Q24"/>
      <c r="R24"/>
      <c r="S24"/>
      <c r="T24"/>
      <c r="U24"/>
      <c r="V24"/>
      <c r="W24"/>
      <c r="X24"/>
      <c r="Y24"/>
      <c r="Z24"/>
      <c r="AA24"/>
      <c r="AB24"/>
      <c r="AC24"/>
      <c r="AD24"/>
      <c r="AE24"/>
      <c r="AF24"/>
      <c r="AG24"/>
    </row>
    <row r="25" spans="1:33" ht="12.75" outlineLevel="1">
      <c r="A25" s="164" t="s">
        <v>427</v>
      </c>
      <c r="B25" s="172">
        <v>36523.690424673186</v>
      </c>
      <c r="C25" s="163" t="s">
        <v>534</v>
      </c>
      <c r="D25"/>
      <c r="E25"/>
      <c r="F25"/>
      <c r="G25"/>
      <c r="H25"/>
      <c r="I25"/>
      <c r="J25"/>
      <c r="K25"/>
      <c r="L25"/>
      <c r="M25"/>
      <c r="N25"/>
      <c r="O25"/>
      <c r="P25"/>
      <c r="Q25"/>
      <c r="R25"/>
      <c r="S25"/>
      <c r="T25"/>
      <c r="U25"/>
      <c r="V25"/>
      <c r="W25"/>
      <c r="X25"/>
      <c r="Y25"/>
      <c r="Z25"/>
      <c r="AA25"/>
      <c r="AB25"/>
      <c r="AC25"/>
      <c r="AD25"/>
      <c r="AE25"/>
      <c r="AF25"/>
      <c r="AG25"/>
    </row>
    <row r="26" spans="1:33" ht="12.75" outlineLevel="1">
      <c r="A26" s="165" t="s">
        <v>428</v>
      </c>
      <c r="B26" s="173">
        <v>71440.905867096822</v>
      </c>
      <c r="C26" s="163"/>
      <c r="D26"/>
      <c r="E26"/>
      <c r="F26"/>
      <c r="G26"/>
      <c r="H26"/>
      <c r="I26"/>
      <c r="J26"/>
      <c r="K26"/>
      <c r="L26"/>
      <c r="M26"/>
      <c r="N26"/>
      <c r="O26"/>
      <c r="P26"/>
      <c r="Q26"/>
      <c r="R26"/>
      <c r="S26"/>
      <c r="T26"/>
      <c r="U26"/>
      <c r="V26"/>
      <c r="W26"/>
      <c r="X26"/>
      <c r="Y26"/>
      <c r="Z26"/>
      <c r="AA26"/>
      <c r="AB26"/>
      <c r="AC26"/>
      <c r="AD26"/>
      <c r="AE26"/>
      <c r="AF26"/>
      <c r="AG26"/>
    </row>
    <row r="27" spans="1:33" ht="12.75" outlineLevel="1">
      <c r="A27" s="166" t="s">
        <v>429</v>
      </c>
      <c r="B27" s="580" t="s">
        <v>499</v>
      </c>
      <c r="C27" s="580" t="s">
        <v>500</v>
      </c>
      <c r="D27" s="582">
        <v>1999</v>
      </c>
      <c r="E27" s="583">
        <v>2000</v>
      </c>
      <c r="F27" s="583">
        <v>2001</v>
      </c>
      <c r="G27" s="583">
        <v>2002</v>
      </c>
      <c r="H27" s="583">
        <v>2003</v>
      </c>
      <c r="I27" s="583">
        <v>2004</v>
      </c>
      <c r="J27" s="583">
        <v>2005</v>
      </c>
      <c r="K27" s="583">
        <v>2006</v>
      </c>
      <c r="L27" s="583">
        <v>2007</v>
      </c>
      <c r="M27" s="583">
        <v>2008</v>
      </c>
      <c r="N27" s="583">
        <v>2009</v>
      </c>
      <c r="O27" s="584">
        <v>2010</v>
      </c>
      <c r="P27" s="171">
        <v>2011</v>
      </c>
      <c r="Q27" s="171">
        <v>2012</v>
      </c>
      <c r="R27" s="171">
        <v>2013</v>
      </c>
      <c r="S27" s="171">
        <v>2014</v>
      </c>
      <c r="T27" s="171">
        <v>2015</v>
      </c>
      <c r="U27" s="171">
        <v>2016</v>
      </c>
      <c r="V27" s="171">
        <v>2017</v>
      </c>
      <c r="W27" s="171">
        <v>2018</v>
      </c>
      <c r="X27" s="171">
        <v>2019</v>
      </c>
      <c r="Y27" s="171">
        <v>2020</v>
      </c>
      <c r="Z27"/>
      <c r="AA27"/>
      <c r="AB27"/>
      <c r="AC27"/>
      <c r="AD27"/>
      <c r="AE27"/>
      <c r="AF27"/>
      <c r="AG27"/>
    </row>
    <row r="28" spans="1:33" ht="12.75" outlineLevel="1">
      <c r="A28" s="166" t="s">
        <v>430</v>
      </c>
      <c r="B28" s="581">
        <f>NPV(0.1,D28:Y28)</f>
        <v>430825.21646559244</v>
      </c>
      <c r="C28" s="581">
        <f>B28-B18</f>
        <v>0</v>
      </c>
      <c r="D28" s="585">
        <v>26519.796349873624</v>
      </c>
      <c r="E28" s="586">
        <v>36688.066009859103</v>
      </c>
      <c r="F28" s="586">
        <v>36966.993966200112</v>
      </c>
      <c r="G28" s="586">
        <v>37199.774695251421</v>
      </c>
      <c r="H28" s="586">
        <v>46623.054258092896</v>
      </c>
      <c r="I28" s="586">
        <v>54441.93966574988</v>
      </c>
      <c r="J28" s="586">
        <v>55849.93676902452</v>
      </c>
      <c r="K28" s="586">
        <v>56914.538505303368</v>
      </c>
      <c r="L28" s="586">
        <v>58094.468665238099</v>
      </c>
      <c r="M28" s="586">
        <v>59389.094769649761</v>
      </c>
      <c r="N28" s="586">
        <v>60833.886539460123</v>
      </c>
      <c r="O28" s="587">
        <v>62431.424568176117</v>
      </c>
      <c r="P28" s="167">
        <v>64321.182827231656</v>
      </c>
      <c r="Q28" s="167">
        <v>66298.299035435659</v>
      </c>
      <c r="R28" s="167">
        <v>68355.75621722803</v>
      </c>
      <c r="S28" s="167">
        <v>70456.941810033401</v>
      </c>
      <c r="T28" s="167">
        <v>72583.610676029464</v>
      </c>
      <c r="U28" s="167">
        <v>74401.585079345663</v>
      </c>
      <c r="V28" s="167">
        <v>76181.066875541248</v>
      </c>
      <c r="W28" s="167">
        <v>77956.712937631281</v>
      </c>
      <c r="X28" s="167">
        <v>0</v>
      </c>
      <c r="Y28" s="167">
        <v>0</v>
      </c>
      <c r="Z28"/>
      <c r="AA28"/>
      <c r="AB28"/>
      <c r="AC28"/>
      <c r="AD28"/>
      <c r="AE28"/>
      <c r="AF28"/>
      <c r="AG28"/>
    </row>
    <row r="29" spans="1:33" ht="12.75" outlineLevel="1">
      <c r="A29" s="168" t="s">
        <v>431</v>
      </c>
      <c r="B29" s="581">
        <f>NPV(0.1,D29:Y29)</f>
        <v>204858.01854165501</v>
      </c>
      <c r="C29" s="581">
        <f>B29-B19</f>
        <v>0</v>
      </c>
      <c r="D29" s="585">
        <v>16747.436042373629</v>
      </c>
      <c r="E29" s="586">
        <v>20539.175971318655</v>
      </c>
      <c r="F29" s="586">
        <v>20873.562967685768</v>
      </c>
      <c r="G29" s="586">
        <v>21163.793360183081</v>
      </c>
      <c r="H29" s="586">
        <v>21526.239012933704</v>
      </c>
      <c r="I29" s="586">
        <v>21970.175616165394</v>
      </c>
      <c r="J29" s="586">
        <v>22495.682534555948</v>
      </c>
      <c r="K29" s="586">
        <v>23133.53147979809</v>
      </c>
      <c r="L29" s="586">
        <v>23892.539414414849</v>
      </c>
      <c r="M29" s="586">
        <v>24772.793062332479</v>
      </c>
      <c r="N29" s="586">
        <v>25805.071715269645</v>
      </c>
      <c r="O29" s="587">
        <v>27782.64546908089</v>
      </c>
      <c r="P29" s="167">
        <v>29076.79553069239</v>
      </c>
      <c r="Q29" s="167">
        <v>30443.370124315414</v>
      </c>
      <c r="R29" s="167">
        <v>31892.241942603792</v>
      </c>
      <c r="S29" s="167">
        <v>33387.377035400721</v>
      </c>
      <c r="T29" s="167">
        <v>34878.45661150894</v>
      </c>
      <c r="U29" s="167">
        <v>36373.391549527536</v>
      </c>
      <c r="V29" s="167">
        <v>37853.814203426475</v>
      </c>
      <c r="W29" s="167">
        <v>39454.034291708951</v>
      </c>
      <c r="X29" s="167">
        <v>0</v>
      </c>
      <c r="Y29" s="167">
        <v>0</v>
      </c>
      <c r="Z29"/>
      <c r="AA29"/>
      <c r="AB29"/>
      <c r="AC29"/>
      <c r="AD29"/>
      <c r="AE29"/>
      <c r="AF29"/>
      <c r="AG29"/>
    </row>
    <row r="30" spans="1:33" ht="12.75" outlineLevel="1">
      <c r="A30" s="168" t="s">
        <v>34</v>
      </c>
      <c r="B30" s="581">
        <f>NPV(0.1,D30:Y30)</f>
        <v>84449.486619016461</v>
      </c>
      <c r="C30" s="581">
        <f>B30-B20</f>
        <v>-3.0076624318462564</v>
      </c>
      <c r="D30" s="585">
        <v>1131.2149736077351</v>
      </c>
      <c r="E30" s="586">
        <v>1653.3824777523762</v>
      </c>
      <c r="F30" s="586">
        <v>1755.51869966191</v>
      </c>
      <c r="G30" s="586">
        <v>1853.2278225296409</v>
      </c>
      <c r="H30" s="586">
        <v>7456.3799982420587</v>
      </c>
      <c r="I30" s="586">
        <v>12270.371245184771</v>
      </c>
      <c r="J30" s="586">
        <v>13192.965409877093</v>
      </c>
      <c r="K30" s="586">
        <v>13758.936333207967</v>
      </c>
      <c r="L30" s="586">
        <v>14375.406593904243</v>
      </c>
      <c r="M30" s="586">
        <v>15024.394941707909</v>
      </c>
      <c r="N30" s="586">
        <v>15711.584931266181</v>
      </c>
      <c r="O30" s="587">
        <v>15929.170484366407</v>
      </c>
      <c r="P30" s="167">
        <v>16802.053051805342</v>
      </c>
      <c r="Q30" s="167">
        <v>17736.019859499844</v>
      </c>
      <c r="R30" s="167">
        <v>18575.497138384842</v>
      </c>
      <c r="S30" s="167">
        <v>19622.50971614321</v>
      </c>
      <c r="T30" s="167">
        <v>20039.388419680618</v>
      </c>
      <c r="U30" s="167">
        <v>20246.143751188254</v>
      </c>
      <c r="V30" s="167">
        <v>20438.30958709339</v>
      </c>
      <c r="W30" s="167">
        <v>20525.654452832277</v>
      </c>
      <c r="X30" s="167">
        <v>0</v>
      </c>
      <c r="Y30" s="167">
        <v>0</v>
      </c>
      <c r="Z30"/>
      <c r="AA30"/>
      <c r="AB30"/>
      <c r="AC30"/>
      <c r="AD30"/>
      <c r="AE30"/>
      <c r="AF30"/>
      <c r="AG30"/>
    </row>
    <row r="31" spans="1:33" ht="12.75" outlineLevel="1">
      <c r="A31" s="168" t="s">
        <v>31</v>
      </c>
      <c r="B31" s="581">
        <f>NPV(0.1,D31:Y31)</f>
        <v>99010.218367850088</v>
      </c>
      <c r="C31" s="581">
        <f>B31-B21</f>
        <v>1.6054525269282749</v>
      </c>
      <c r="D31" s="588">
        <v>3402.9161593176491</v>
      </c>
      <c r="E31" s="589">
        <v>6176.0080517646093</v>
      </c>
      <c r="F31" s="589">
        <v>5614.8860850924939</v>
      </c>
      <c r="G31" s="589">
        <v>5584.457972296369</v>
      </c>
      <c r="H31" s="589">
        <v>15305.246369222148</v>
      </c>
      <c r="I31" s="589">
        <v>16837.922530076059</v>
      </c>
      <c r="J31" s="589">
        <v>13210.865779857653</v>
      </c>
      <c r="K31" s="589">
        <v>13101.344838731982</v>
      </c>
      <c r="L31" s="589">
        <v>12984.146590994986</v>
      </c>
      <c r="M31" s="589">
        <v>12854.356633064068</v>
      </c>
      <c r="N31" s="589">
        <v>12683.409390239858</v>
      </c>
      <c r="O31" s="590">
        <v>13092.518710847253</v>
      </c>
      <c r="P31" s="167">
        <v>12078.067332404287</v>
      </c>
      <c r="Q31" s="167">
        <v>11874.278967943312</v>
      </c>
      <c r="R31" s="167">
        <v>16874.023666292203</v>
      </c>
      <c r="S31" s="167">
        <v>23120.232379597677</v>
      </c>
      <c r="T31" s="167">
        <v>23070.156805571958</v>
      </c>
      <c r="U31" s="167">
        <v>23269.141819099634</v>
      </c>
      <c r="V31" s="167">
        <v>23469.879947981157</v>
      </c>
      <c r="W31" s="167">
        <v>23663.852772434529</v>
      </c>
      <c r="X31" s="167">
        <v>0</v>
      </c>
      <c r="Y31" s="167">
        <v>0</v>
      </c>
      <c r="Z31"/>
      <c r="AA31"/>
      <c r="AB31"/>
      <c r="AC31"/>
      <c r="AD31"/>
      <c r="AE31"/>
      <c r="AF31"/>
      <c r="AG31"/>
    </row>
    <row r="32" spans="1:33" ht="12.75" outlineLevel="1">
      <c r="A32" s="163"/>
      <c r="B32" s="163"/>
      <c r="C32" s="163"/>
      <c r="D32"/>
      <c r="E32"/>
      <c r="F32"/>
      <c r="G32"/>
      <c r="H32"/>
      <c r="I32"/>
      <c r="J32"/>
      <c r="K32"/>
      <c r="L32"/>
      <c r="M32"/>
      <c r="N32"/>
      <c r="O32"/>
      <c r="P32"/>
      <c r="Q32"/>
      <c r="R32"/>
      <c r="S32"/>
      <c r="T32"/>
      <c r="U32"/>
      <c r="V32"/>
      <c r="W32"/>
      <c r="X32"/>
      <c r="Y32"/>
      <c r="Z32"/>
      <c r="AA32"/>
      <c r="AB32"/>
      <c r="AC32"/>
      <c r="AD32"/>
      <c r="AE32"/>
      <c r="AF32"/>
      <c r="AG32"/>
    </row>
    <row r="33" spans="1:33" ht="12.75" outlineLevel="1">
      <c r="A33" s="169" t="s">
        <v>449</v>
      </c>
      <c r="B33" s="163"/>
      <c r="C33" s="163"/>
      <c r="D33"/>
      <c r="E33"/>
      <c r="F33"/>
      <c r="G33"/>
      <c r="H33"/>
      <c r="I33"/>
      <c r="J33"/>
      <c r="K33"/>
      <c r="L33"/>
      <c r="M33"/>
      <c r="N33"/>
      <c r="O33"/>
      <c r="P33"/>
      <c r="Q33"/>
      <c r="R33"/>
      <c r="S33"/>
      <c r="T33"/>
      <c r="U33"/>
      <c r="V33"/>
      <c r="W33"/>
      <c r="X33"/>
      <c r="Y33"/>
      <c r="Z33"/>
      <c r="AA33"/>
      <c r="AB33"/>
      <c r="AC33"/>
      <c r="AD33"/>
      <c r="AE33"/>
      <c r="AF33"/>
      <c r="AG33"/>
    </row>
    <row r="34" spans="1:33" ht="12.75" outlineLevel="1">
      <c r="A34" s="416">
        <v>36220</v>
      </c>
      <c r="B34" s="163"/>
      <c r="C34" s="163"/>
      <c r="D34"/>
      <c r="E34"/>
      <c r="F34"/>
      <c r="G34"/>
      <c r="H34"/>
      <c r="I34"/>
      <c r="J34"/>
      <c r="K34"/>
      <c r="L34"/>
      <c r="M34"/>
      <c r="N34"/>
      <c r="O34"/>
      <c r="P34"/>
      <c r="Q34"/>
      <c r="R34"/>
      <c r="S34"/>
      <c r="T34"/>
      <c r="U34"/>
      <c r="V34"/>
      <c r="W34"/>
      <c r="X34"/>
      <c r="Y34"/>
      <c r="Z34"/>
      <c r="AA34"/>
      <c r="AB34"/>
      <c r="AC34"/>
      <c r="AD34"/>
      <c r="AE34"/>
      <c r="AF34"/>
      <c r="AG34"/>
    </row>
    <row r="35" spans="1:33" ht="12.75" outlineLevel="1">
      <c r="A35" s="164" t="s">
        <v>427</v>
      </c>
      <c r="B35" s="172">
        <v>35984.107848482097</v>
      </c>
      <c r="C35" s="163" t="s">
        <v>534</v>
      </c>
      <c r="D35"/>
      <c r="E35"/>
      <c r="F35"/>
      <c r="G35"/>
      <c r="H35"/>
      <c r="I35"/>
      <c r="J35"/>
      <c r="K35"/>
      <c r="L35"/>
      <c r="M35"/>
      <c r="N35"/>
      <c r="O35"/>
      <c r="P35"/>
      <c r="Q35"/>
      <c r="R35"/>
      <c r="S35"/>
      <c r="T35"/>
      <c r="U35"/>
      <c r="V35"/>
      <c r="W35"/>
      <c r="X35"/>
      <c r="Y35"/>
      <c r="Z35"/>
      <c r="AA35"/>
      <c r="AB35"/>
      <c r="AC35"/>
      <c r="AD35"/>
      <c r="AE35"/>
      <c r="AF35"/>
      <c r="AG35"/>
    </row>
    <row r="36" spans="1:33" ht="12.75" outlineLevel="1">
      <c r="A36" s="165" t="s">
        <v>428</v>
      </c>
      <c r="B36" s="173">
        <v>70790.70806784516</v>
      </c>
      <c r="C36" s="163"/>
      <c r="D36"/>
      <c r="E36"/>
      <c r="F36"/>
      <c r="G36"/>
      <c r="H36"/>
      <c r="I36"/>
      <c r="J36"/>
      <c r="K36"/>
      <c r="L36"/>
      <c r="M36"/>
      <c r="N36"/>
      <c r="O36"/>
      <c r="P36"/>
      <c r="Q36"/>
      <c r="R36"/>
      <c r="S36"/>
      <c r="T36"/>
      <c r="U36"/>
      <c r="V36"/>
      <c r="W36"/>
      <c r="X36"/>
      <c r="Y36"/>
      <c r="Z36"/>
      <c r="AA36"/>
      <c r="AB36"/>
      <c r="AC36"/>
      <c r="AD36"/>
      <c r="AE36"/>
      <c r="AF36"/>
      <c r="AG36"/>
    </row>
    <row r="37" spans="1:33" ht="12.75" outlineLevel="1">
      <c r="A37" s="166" t="s">
        <v>429</v>
      </c>
      <c r="B37" s="580" t="s">
        <v>499</v>
      </c>
      <c r="C37" s="580" t="s">
        <v>500</v>
      </c>
      <c r="D37" s="582">
        <v>1999</v>
      </c>
      <c r="E37" s="583">
        <v>2000</v>
      </c>
      <c r="F37" s="583">
        <v>2001</v>
      </c>
      <c r="G37" s="583">
        <v>2002</v>
      </c>
      <c r="H37" s="583">
        <v>2003</v>
      </c>
      <c r="I37" s="583">
        <v>2004</v>
      </c>
      <c r="J37" s="583">
        <v>2005</v>
      </c>
      <c r="K37" s="583">
        <v>2006</v>
      </c>
      <c r="L37" s="583">
        <v>2007</v>
      </c>
      <c r="M37" s="583">
        <v>2008</v>
      </c>
      <c r="N37" s="583">
        <v>2009</v>
      </c>
      <c r="O37" s="584">
        <v>2010</v>
      </c>
      <c r="P37" s="171">
        <v>2011</v>
      </c>
      <c r="Q37" s="171">
        <v>2012</v>
      </c>
      <c r="R37" s="171">
        <v>2013</v>
      </c>
      <c r="S37" s="171">
        <v>2014</v>
      </c>
      <c r="T37" s="171">
        <v>2015</v>
      </c>
      <c r="U37" s="171">
        <v>2016</v>
      </c>
      <c r="V37" s="171">
        <v>2017</v>
      </c>
      <c r="W37" s="171">
        <v>2018</v>
      </c>
      <c r="X37" s="171">
        <v>2019</v>
      </c>
      <c r="Y37" s="171">
        <v>2020</v>
      </c>
      <c r="Z37"/>
      <c r="AA37"/>
      <c r="AB37"/>
      <c r="AC37"/>
      <c r="AD37"/>
      <c r="AE37"/>
      <c r="AF37"/>
      <c r="AG37"/>
    </row>
    <row r="38" spans="1:33" ht="12.75" outlineLevel="1">
      <c r="A38" s="166" t="s">
        <v>430</v>
      </c>
      <c r="B38" s="581">
        <f>NPV(0.1,D38:Y38)</f>
        <v>430825.21646559244</v>
      </c>
      <c r="C38" s="581">
        <f>B38-B28</f>
        <v>0</v>
      </c>
      <c r="D38" s="585">
        <v>26519.796349873624</v>
      </c>
      <c r="E38" s="586">
        <v>36688.066009859103</v>
      </c>
      <c r="F38" s="586">
        <v>36966.993966200112</v>
      </c>
      <c r="G38" s="586">
        <v>37199.774695251421</v>
      </c>
      <c r="H38" s="586">
        <v>46623.054258092896</v>
      </c>
      <c r="I38" s="586">
        <v>54441.93966574988</v>
      </c>
      <c r="J38" s="586">
        <v>55849.93676902452</v>
      </c>
      <c r="K38" s="586">
        <v>56914.538505303368</v>
      </c>
      <c r="L38" s="586">
        <v>58094.468665238099</v>
      </c>
      <c r="M38" s="586">
        <v>59389.094769649761</v>
      </c>
      <c r="N38" s="586">
        <v>60833.886539460123</v>
      </c>
      <c r="O38" s="587">
        <v>62431.424568176117</v>
      </c>
      <c r="P38" s="167">
        <v>64321.182827231656</v>
      </c>
      <c r="Q38" s="167">
        <v>66298.299035435659</v>
      </c>
      <c r="R38" s="167">
        <v>68355.75621722803</v>
      </c>
      <c r="S38" s="167">
        <v>70456.941810033401</v>
      </c>
      <c r="T38" s="167">
        <v>72583.610676029464</v>
      </c>
      <c r="U38" s="167">
        <v>74401.585079345663</v>
      </c>
      <c r="V38" s="167">
        <v>76181.066875541248</v>
      </c>
      <c r="W38" s="167">
        <v>77956.712937631281</v>
      </c>
      <c r="X38" s="167">
        <v>0</v>
      </c>
      <c r="Y38" s="167">
        <v>0</v>
      </c>
      <c r="Z38"/>
      <c r="AA38"/>
      <c r="AB38"/>
      <c r="AC38"/>
      <c r="AD38"/>
      <c r="AE38"/>
      <c r="AF38"/>
      <c r="AG38"/>
    </row>
    <row r="39" spans="1:33" ht="12.75" outlineLevel="1">
      <c r="A39" s="168" t="s">
        <v>431</v>
      </c>
      <c r="B39" s="581">
        <f>NPV(0.1,D39:Y39)</f>
        <v>204858.01854165501</v>
      </c>
      <c r="C39" s="581">
        <f>B39-B29</f>
        <v>0</v>
      </c>
      <c r="D39" s="585">
        <v>16747.436042373629</v>
      </c>
      <c r="E39" s="586">
        <v>20539.175971318655</v>
      </c>
      <c r="F39" s="586">
        <v>20873.562967685768</v>
      </c>
      <c r="G39" s="586">
        <v>21163.793360183081</v>
      </c>
      <c r="H39" s="586">
        <v>21526.239012933704</v>
      </c>
      <c r="I39" s="586">
        <v>21970.175616165394</v>
      </c>
      <c r="J39" s="586">
        <v>22495.682534555948</v>
      </c>
      <c r="K39" s="586">
        <v>23133.53147979809</v>
      </c>
      <c r="L39" s="586">
        <v>23892.539414414849</v>
      </c>
      <c r="M39" s="586">
        <v>24772.793062332479</v>
      </c>
      <c r="N39" s="586">
        <v>25805.071715269645</v>
      </c>
      <c r="O39" s="587">
        <v>27782.64546908089</v>
      </c>
      <c r="P39" s="167">
        <v>29076.79553069239</v>
      </c>
      <c r="Q39" s="167">
        <v>30443.370124315414</v>
      </c>
      <c r="R39" s="167">
        <v>31892.241942603792</v>
      </c>
      <c r="S39" s="167">
        <v>33387.377035400721</v>
      </c>
      <c r="T39" s="167">
        <v>34878.45661150894</v>
      </c>
      <c r="U39" s="167">
        <v>36373.391549527536</v>
      </c>
      <c r="V39" s="167">
        <v>37853.814203426475</v>
      </c>
      <c r="W39" s="167">
        <v>39454.034291708951</v>
      </c>
      <c r="X39" s="167">
        <v>0</v>
      </c>
      <c r="Y39" s="167">
        <v>0</v>
      </c>
      <c r="Z39"/>
      <c r="AA39"/>
      <c r="AB39"/>
      <c r="AC39"/>
      <c r="AD39"/>
      <c r="AE39"/>
      <c r="AF39"/>
      <c r="AG39"/>
    </row>
    <row r="40" spans="1:33" ht="12.75" outlineLevel="1">
      <c r="A40" s="168" t="s">
        <v>34</v>
      </c>
      <c r="B40" s="581">
        <f>NPV(0.1,D40:Y40)</f>
        <v>84105.362228944243</v>
      </c>
      <c r="C40" s="581">
        <f>B40-B30</f>
        <v>-344.12439007221838</v>
      </c>
      <c r="D40" s="585">
        <v>725.35039840182628</v>
      </c>
      <c r="E40" s="586">
        <v>1661.3530442523754</v>
      </c>
      <c r="F40" s="586">
        <v>1763.4892661619094</v>
      </c>
      <c r="G40" s="586">
        <v>1861.1983890296403</v>
      </c>
      <c r="H40" s="586">
        <v>7464.3505647420598</v>
      </c>
      <c r="I40" s="586">
        <v>12273.69231455977</v>
      </c>
      <c r="J40" s="586">
        <v>13192.965409877093</v>
      </c>
      <c r="K40" s="586">
        <v>13758.936333207967</v>
      </c>
      <c r="L40" s="586">
        <v>14375.406593904243</v>
      </c>
      <c r="M40" s="586">
        <v>15024.394941707909</v>
      </c>
      <c r="N40" s="586">
        <v>15711.584931266181</v>
      </c>
      <c r="O40" s="587">
        <v>15929.170484366407</v>
      </c>
      <c r="P40" s="167">
        <v>16802.053051805342</v>
      </c>
      <c r="Q40" s="167">
        <v>17736.019859499844</v>
      </c>
      <c r="R40" s="167">
        <v>18575.497138384842</v>
      </c>
      <c r="S40" s="167">
        <v>19622.50971614321</v>
      </c>
      <c r="T40" s="167">
        <v>20039.388419680618</v>
      </c>
      <c r="U40" s="167">
        <v>20246.143751188254</v>
      </c>
      <c r="V40" s="167">
        <v>20438.30958709339</v>
      </c>
      <c r="W40" s="167">
        <v>20525.654452832277</v>
      </c>
      <c r="X40" s="167">
        <v>0</v>
      </c>
      <c r="Y40" s="167">
        <v>0</v>
      </c>
      <c r="Z40"/>
      <c r="AA40"/>
      <c r="AB40"/>
      <c r="AC40"/>
      <c r="AD40"/>
      <c r="AE40"/>
      <c r="AF40"/>
      <c r="AG40"/>
    </row>
    <row r="41" spans="1:33" ht="12.75" outlineLevel="1">
      <c r="A41" s="168" t="s">
        <v>31</v>
      </c>
      <c r="B41" s="581">
        <f>NPV(0.1,D41:Y41)</f>
        <v>98920.418331940469</v>
      </c>
      <c r="C41" s="581">
        <f>B41-B31</f>
        <v>-89.8000359096186</v>
      </c>
      <c r="D41" s="588">
        <v>3174.7364926509827</v>
      </c>
      <c r="E41" s="589">
        <v>6176.0080517646056</v>
      </c>
      <c r="F41" s="589">
        <v>5614.8860850924939</v>
      </c>
      <c r="G41" s="589">
        <v>5584.457972296369</v>
      </c>
      <c r="H41" s="589">
        <v>15305.246369222148</v>
      </c>
      <c r="I41" s="589">
        <v>17046.321923623334</v>
      </c>
      <c r="J41" s="589">
        <v>13210.865779857653</v>
      </c>
      <c r="K41" s="589">
        <v>13101.344838731982</v>
      </c>
      <c r="L41" s="589">
        <v>12984.146590994986</v>
      </c>
      <c r="M41" s="589">
        <v>12854.356633064068</v>
      </c>
      <c r="N41" s="589">
        <v>12683.409390239858</v>
      </c>
      <c r="O41" s="590">
        <v>13092.518710847253</v>
      </c>
      <c r="P41" s="167">
        <v>12078.067332404287</v>
      </c>
      <c r="Q41" s="167">
        <v>11874.278967943312</v>
      </c>
      <c r="R41" s="167">
        <v>16874.023666292203</v>
      </c>
      <c r="S41" s="167">
        <v>23120.232379597677</v>
      </c>
      <c r="T41" s="167">
        <v>23070.156805571958</v>
      </c>
      <c r="U41" s="167">
        <v>23269.141819099634</v>
      </c>
      <c r="V41" s="167">
        <v>23469.879947981157</v>
      </c>
      <c r="W41" s="167">
        <v>23663.852772434529</v>
      </c>
      <c r="X41" s="167">
        <v>0</v>
      </c>
      <c r="Y41" s="167">
        <v>0</v>
      </c>
      <c r="Z41"/>
      <c r="AA41"/>
      <c r="AB41"/>
      <c r="AC41"/>
      <c r="AD41"/>
      <c r="AE41"/>
      <c r="AF41"/>
      <c r="AG41"/>
    </row>
    <row r="42" spans="1:33" ht="10.5" customHeight="1">
      <c r="A42" s="163"/>
      <c r="B42" s="163"/>
      <c r="C42" s="163"/>
      <c r="D42"/>
      <c r="E42"/>
      <c r="F42"/>
      <c r="G42"/>
      <c r="H42"/>
      <c r="I42"/>
      <c r="J42"/>
      <c r="K42"/>
      <c r="L42"/>
      <c r="M42"/>
      <c r="N42"/>
      <c r="O42"/>
      <c r="P42"/>
      <c r="Q42"/>
      <c r="R42"/>
      <c r="S42"/>
      <c r="T42"/>
      <c r="U42"/>
      <c r="V42"/>
      <c r="W42"/>
      <c r="X42"/>
      <c r="Y42"/>
      <c r="Z42"/>
      <c r="AA42"/>
      <c r="AB42"/>
      <c r="AC42"/>
      <c r="AD42"/>
      <c r="AE42"/>
      <c r="AF42"/>
      <c r="AG42"/>
    </row>
    <row r="43" spans="1:33" ht="12.75" customHeight="1">
      <c r="A43" s="169" t="s">
        <v>455</v>
      </c>
      <c r="B43" s="163"/>
      <c r="C43" s="163"/>
      <c r="D43"/>
      <c r="E43"/>
      <c r="F43"/>
      <c r="G43"/>
      <c r="H43"/>
      <c r="I43"/>
      <c r="J43"/>
      <c r="K43"/>
      <c r="L43"/>
      <c r="M43"/>
      <c r="N43"/>
      <c r="O43"/>
      <c r="P43"/>
      <c r="Q43"/>
      <c r="R43"/>
      <c r="S43"/>
      <c r="T43"/>
      <c r="U43"/>
      <c r="V43"/>
      <c r="W43"/>
      <c r="X43"/>
      <c r="Y43"/>
      <c r="Z43"/>
      <c r="AA43"/>
      <c r="AB43"/>
      <c r="AC43"/>
      <c r="AD43"/>
      <c r="AE43"/>
      <c r="AF43"/>
      <c r="AG43"/>
    </row>
    <row r="44" spans="1:33" ht="12.75">
      <c r="A44" s="416">
        <v>36220</v>
      </c>
      <c r="B44" s="163"/>
      <c r="C44" s="163"/>
      <c r="D44"/>
      <c r="E44"/>
      <c r="F44"/>
      <c r="G44"/>
      <c r="H44"/>
      <c r="I44"/>
      <c r="J44"/>
      <c r="K44"/>
      <c r="L44"/>
      <c r="M44"/>
      <c r="N44"/>
      <c r="O44"/>
      <c r="P44"/>
      <c r="Q44"/>
      <c r="R44"/>
      <c r="S44"/>
      <c r="T44"/>
      <c r="U44"/>
      <c r="V44"/>
      <c r="W44"/>
      <c r="X44"/>
      <c r="Y44"/>
      <c r="Z44"/>
      <c r="AA44"/>
      <c r="AB44"/>
      <c r="AC44"/>
      <c r="AD44"/>
      <c r="AE44"/>
      <c r="AF44"/>
      <c r="AG44"/>
    </row>
    <row r="45" spans="1:33" ht="12.75">
      <c r="A45" s="164" t="s">
        <v>427</v>
      </c>
      <c r="B45" s="172">
        <v>36059.618661441891</v>
      </c>
      <c r="C45" s="163" t="s">
        <v>534</v>
      </c>
      <c r="D45"/>
      <c r="E45"/>
      <c r="F45"/>
      <c r="G45"/>
      <c r="H45"/>
      <c r="I45"/>
      <c r="J45"/>
      <c r="K45"/>
      <c r="L45"/>
      <c r="M45"/>
      <c r="N45"/>
      <c r="O45"/>
      <c r="P45"/>
      <c r="Q45"/>
      <c r="R45"/>
      <c r="S45"/>
      <c r="T45"/>
      <c r="U45"/>
      <c r="V45"/>
      <c r="W45"/>
      <c r="X45"/>
      <c r="Y45"/>
      <c r="Z45"/>
      <c r="AA45"/>
      <c r="AB45"/>
      <c r="AC45"/>
      <c r="AD45"/>
      <c r="AE45"/>
      <c r="AF45"/>
      <c r="AG45"/>
    </row>
    <row r="46" spans="1:33" ht="12.75">
      <c r="A46" s="165" t="s">
        <v>428</v>
      </c>
      <c r="B46" s="173">
        <v>70790.70806784516</v>
      </c>
      <c r="C46" s="163"/>
      <c r="D46"/>
      <c r="E46"/>
      <c r="F46"/>
      <c r="G46"/>
      <c r="H46"/>
      <c r="I46"/>
      <c r="J46"/>
      <c r="K46"/>
      <c r="L46"/>
      <c r="M46"/>
      <c r="N46"/>
      <c r="O46"/>
      <c r="P46"/>
      <c r="Q46"/>
      <c r="R46"/>
      <c r="S46"/>
      <c r="T46"/>
      <c r="U46"/>
      <c r="V46"/>
      <c r="W46"/>
      <c r="X46"/>
      <c r="Y46"/>
      <c r="Z46"/>
      <c r="AA46"/>
      <c r="AB46"/>
      <c r="AC46"/>
      <c r="AD46"/>
      <c r="AE46"/>
      <c r="AF46"/>
      <c r="AG46"/>
    </row>
    <row r="47" spans="1:33" ht="12.75">
      <c r="A47" s="166" t="s">
        <v>429</v>
      </c>
      <c r="B47" s="580" t="s">
        <v>499</v>
      </c>
      <c r="C47" s="580" t="s">
        <v>500</v>
      </c>
      <c r="D47" s="582">
        <v>1999</v>
      </c>
      <c r="E47" s="583">
        <v>2000</v>
      </c>
      <c r="F47" s="583">
        <v>2001</v>
      </c>
      <c r="G47" s="583">
        <v>2002</v>
      </c>
      <c r="H47" s="583">
        <v>2003</v>
      </c>
      <c r="I47" s="583">
        <v>2004</v>
      </c>
      <c r="J47" s="583">
        <v>2005</v>
      </c>
      <c r="K47" s="583">
        <v>2006</v>
      </c>
      <c r="L47" s="583">
        <v>2007</v>
      </c>
      <c r="M47" s="583">
        <v>2008</v>
      </c>
      <c r="N47" s="583">
        <v>2009</v>
      </c>
      <c r="O47" s="584">
        <v>2010</v>
      </c>
      <c r="P47" s="171">
        <v>2011</v>
      </c>
      <c r="Q47" s="171">
        <v>2012</v>
      </c>
      <c r="R47" s="171">
        <v>2013</v>
      </c>
      <c r="S47" s="171">
        <v>2014</v>
      </c>
      <c r="T47" s="171">
        <v>2015</v>
      </c>
      <c r="U47" s="171">
        <v>2016</v>
      </c>
      <c r="V47" s="171">
        <v>2017</v>
      </c>
      <c r="W47" s="171">
        <v>2018</v>
      </c>
      <c r="X47" s="171">
        <v>2019</v>
      </c>
      <c r="Y47" s="171">
        <v>2020</v>
      </c>
      <c r="Z47"/>
      <c r="AA47"/>
      <c r="AB47"/>
      <c r="AC47"/>
      <c r="AD47"/>
      <c r="AE47"/>
      <c r="AF47"/>
      <c r="AG47"/>
    </row>
    <row r="48" spans="1:33" ht="12.75">
      <c r="A48" s="166" t="s">
        <v>430</v>
      </c>
      <c r="B48" s="581">
        <f>NPV(0.1,D48:Y48)</f>
        <v>430825.21646559244</v>
      </c>
      <c r="C48" s="581">
        <f>B48-B38</f>
        <v>0</v>
      </c>
      <c r="D48" s="585">
        <v>26519.796349873624</v>
      </c>
      <c r="E48" s="586">
        <v>36688.066009859103</v>
      </c>
      <c r="F48" s="586">
        <v>36966.993966200112</v>
      </c>
      <c r="G48" s="586">
        <v>37199.774695251421</v>
      </c>
      <c r="H48" s="586">
        <v>46623.054258092896</v>
      </c>
      <c r="I48" s="586">
        <v>54441.93966574988</v>
      </c>
      <c r="J48" s="586">
        <v>55849.93676902452</v>
      </c>
      <c r="K48" s="586">
        <v>56914.538505303368</v>
      </c>
      <c r="L48" s="586">
        <v>58094.468665238099</v>
      </c>
      <c r="M48" s="586">
        <v>59389.094769649761</v>
      </c>
      <c r="N48" s="586">
        <v>60833.886539460123</v>
      </c>
      <c r="O48" s="587">
        <v>62431.424568176117</v>
      </c>
      <c r="P48" s="167">
        <v>64321.182827231656</v>
      </c>
      <c r="Q48" s="167">
        <v>66298.299035435659</v>
      </c>
      <c r="R48" s="167">
        <v>68355.75621722803</v>
      </c>
      <c r="S48" s="167">
        <v>70456.941810033401</v>
      </c>
      <c r="T48" s="167">
        <v>72583.610676029464</v>
      </c>
      <c r="U48" s="167">
        <v>74401.585079345663</v>
      </c>
      <c r="V48" s="167">
        <v>76181.066875541248</v>
      </c>
      <c r="W48" s="167">
        <v>77956.712937631281</v>
      </c>
      <c r="X48" s="167">
        <v>0</v>
      </c>
      <c r="Y48" s="167">
        <v>0</v>
      </c>
      <c r="Z48"/>
      <c r="AA48"/>
      <c r="AB48"/>
      <c r="AC48"/>
      <c r="AD48"/>
      <c r="AE48"/>
      <c r="AF48"/>
      <c r="AG48"/>
    </row>
    <row r="49" spans="1:33" ht="12.75">
      <c r="A49" s="168" t="s">
        <v>431</v>
      </c>
      <c r="B49" s="581">
        <f>NPV(0.1,D49:Y49)</f>
        <v>204858.01854165501</v>
      </c>
      <c r="C49" s="581">
        <f>B49-B39</f>
        <v>0</v>
      </c>
      <c r="D49" s="585">
        <v>16747.436042373629</v>
      </c>
      <c r="E49" s="586">
        <v>20539.175971318655</v>
      </c>
      <c r="F49" s="586">
        <v>20873.562967685768</v>
      </c>
      <c r="G49" s="586">
        <v>21163.793360183081</v>
      </c>
      <c r="H49" s="586">
        <v>21526.239012933704</v>
      </c>
      <c r="I49" s="586">
        <v>21970.175616165394</v>
      </c>
      <c r="J49" s="586">
        <v>22495.682534555948</v>
      </c>
      <c r="K49" s="586">
        <v>23133.53147979809</v>
      </c>
      <c r="L49" s="586">
        <v>23892.539414414849</v>
      </c>
      <c r="M49" s="586">
        <v>24772.793062332479</v>
      </c>
      <c r="N49" s="586">
        <v>25805.071715269645</v>
      </c>
      <c r="O49" s="587">
        <v>27782.64546908089</v>
      </c>
      <c r="P49" s="167">
        <v>29076.79553069239</v>
      </c>
      <c r="Q49" s="167">
        <v>30443.370124315414</v>
      </c>
      <c r="R49" s="167">
        <v>31892.241942603792</v>
      </c>
      <c r="S49" s="167">
        <v>33387.377035400721</v>
      </c>
      <c r="T49" s="167">
        <v>34878.45661150894</v>
      </c>
      <c r="U49" s="167">
        <v>36373.391549527536</v>
      </c>
      <c r="V49" s="167">
        <v>37853.814203426475</v>
      </c>
      <c r="W49" s="167">
        <v>39454.034291708951</v>
      </c>
      <c r="X49" s="167">
        <v>0</v>
      </c>
      <c r="Y49" s="167">
        <v>0</v>
      </c>
      <c r="Z49"/>
      <c r="AA49"/>
      <c r="AB49"/>
      <c r="AC49"/>
      <c r="AD49"/>
      <c r="AE49"/>
      <c r="AF49"/>
      <c r="AG49"/>
    </row>
    <row r="50" spans="1:33" ht="12.75">
      <c r="A50" s="168" t="s">
        <v>34</v>
      </c>
      <c r="B50" s="581">
        <f>NPV(0.1,D50:Y50)</f>
        <v>84105.362228944243</v>
      </c>
      <c r="C50" s="581">
        <f>B50-B40</f>
        <v>0</v>
      </c>
      <c r="D50" s="585">
        <v>725.35039840182628</v>
      </c>
      <c r="E50" s="586">
        <v>1661.3530442523754</v>
      </c>
      <c r="F50" s="586">
        <v>1763.4892661619094</v>
      </c>
      <c r="G50" s="586">
        <v>1861.1983890296403</v>
      </c>
      <c r="H50" s="586">
        <v>7464.3505647420598</v>
      </c>
      <c r="I50" s="586">
        <v>12273.69231455977</v>
      </c>
      <c r="J50" s="586">
        <v>13192.965409877093</v>
      </c>
      <c r="K50" s="586">
        <v>13758.936333207967</v>
      </c>
      <c r="L50" s="586">
        <v>14375.406593904243</v>
      </c>
      <c r="M50" s="586">
        <v>15024.394941707909</v>
      </c>
      <c r="N50" s="586">
        <v>15711.584931266181</v>
      </c>
      <c r="O50" s="587">
        <v>15929.170484366407</v>
      </c>
      <c r="P50" s="167">
        <v>16802.053051805342</v>
      </c>
      <c r="Q50" s="167">
        <v>17736.019859499844</v>
      </c>
      <c r="R50" s="167">
        <v>18575.497138384842</v>
      </c>
      <c r="S50" s="167">
        <v>19622.50971614321</v>
      </c>
      <c r="T50" s="167">
        <v>20039.388419680618</v>
      </c>
      <c r="U50" s="167">
        <v>20246.143751188254</v>
      </c>
      <c r="V50" s="167">
        <v>20438.30958709339</v>
      </c>
      <c r="W50" s="167">
        <v>20525.654452832277</v>
      </c>
      <c r="X50" s="167">
        <v>0</v>
      </c>
      <c r="Y50" s="167">
        <v>0</v>
      </c>
      <c r="Z50"/>
      <c r="AA50"/>
      <c r="AB50"/>
      <c r="AC50"/>
      <c r="AD50"/>
      <c r="AE50"/>
      <c r="AF50"/>
      <c r="AG50"/>
    </row>
    <row r="51" spans="1:33" ht="12.75">
      <c r="A51" s="168" t="s">
        <v>31</v>
      </c>
      <c r="B51" s="581">
        <f>NPV(0.1,D51:Y51)</f>
        <v>99011.46081999813</v>
      </c>
      <c r="C51" s="581">
        <f>B51-B41</f>
        <v>91.042488057661103</v>
      </c>
      <c r="D51" s="588">
        <v>3174.7364926509827</v>
      </c>
      <c r="E51" s="589">
        <v>6176.0080517646056</v>
      </c>
      <c r="F51" s="589">
        <v>5614.8860850924939</v>
      </c>
      <c r="G51" s="589">
        <v>5584.457972296369</v>
      </c>
      <c r="H51" s="589">
        <v>15305.246369222148</v>
      </c>
      <c r="I51" s="589">
        <v>17043.706475914209</v>
      </c>
      <c r="J51" s="589">
        <v>13224.102017576221</v>
      </c>
      <c r="K51" s="589">
        <v>13116.400319315399</v>
      </c>
      <c r="L51" s="589">
        <v>13001.029283497965</v>
      </c>
      <c r="M51" s="589">
        <v>12873.092765284055</v>
      </c>
      <c r="N51" s="589">
        <v>12703.99812023596</v>
      </c>
      <c r="O51" s="590">
        <v>13116.263106188126</v>
      </c>
      <c r="P51" s="167">
        <v>12103.603205698682</v>
      </c>
      <c r="Q51" s="167">
        <v>11901.60588885865</v>
      </c>
      <c r="R51" s="167">
        <v>16911.911110952355</v>
      </c>
      <c r="S51" s="167">
        <v>23155.242601563419</v>
      </c>
      <c r="T51" s="167">
        <v>23101.570780897542</v>
      </c>
      <c r="U51" s="167">
        <v>23296.94104705366</v>
      </c>
      <c r="V51" s="167">
        <v>23494.072497687324</v>
      </c>
      <c r="W51" s="167">
        <v>23684.60632595668</v>
      </c>
      <c r="X51" s="167">
        <v>0</v>
      </c>
      <c r="Y51" s="167">
        <v>0</v>
      </c>
      <c r="Z51"/>
      <c r="AA51"/>
      <c r="AB51"/>
      <c r="AC51"/>
      <c r="AD51"/>
      <c r="AE51"/>
      <c r="AF51"/>
      <c r="AG51"/>
    </row>
    <row r="52" spans="1:33" ht="12.75">
      <c r="A52" s="163"/>
      <c r="B52" s="163"/>
      <c r="C52" s="163"/>
      <c r="D52"/>
      <c r="E52"/>
      <c r="F52"/>
      <c r="G52"/>
      <c r="H52"/>
      <c r="I52"/>
      <c r="J52"/>
      <c r="K52"/>
      <c r="L52"/>
      <c r="M52"/>
      <c r="N52"/>
      <c r="O52"/>
      <c r="P52"/>
      <c r="Q52"/>
      <c r="R52"/>
      <c r="S52"/>
      <c r="T52"/>
      <c r="U52"/>
      <c r="V52"/>
      <c r="W52"/>
      <c r="X52"/>
      <c r="Y52"/>
      <c r="Z52"/>
      <c r="AA52"/>
      <c r="AB52"/>
      <c r="AC52"/>
      <c r="AD52"/>
      <c r="AE52"/>
      <c r="AF52"/>
      <c r="AG52"/>
    </row>
    <row r="53" spans="1:33" ht="12.75">
      <c r="A53" s="169" t="s">
        <v>465</v>
      </c>
      <c r="B53" s="163"/>
      <c r="C53" s="163"/>
      <c r="D53"/>
      <c r="E53"/>
      <c r="F53"/>
      <c r="G53"/>
      <c r="H53"/>
      <c r="I53"/>
      <c r="J53"/>
      <c r="K53"/>
      <c r="L53"/>
      <c r="M53"/>
      <c r="N53"/>
      <c r="O53"/>
      <c r="P53"/>
      <c r="Q53"/>
      <c r="R53"/>
      <c r="S53"/>
      <c r="T53"/>
      <c r="U53"/>
      <c r="V53"/>
      <c r="W53"/>
      <c r="X53"/>
      <c r="Y53"/>
      <c r="Z53"/>
      <c r="AA53"/>
      <c r="AB53"/>
      <c r="AC53"/>
      <c r="AD53"/>
      <c r="AE53"/>
      <c r="AF53"/>
      <c r="AG53"/>
    </row>
    <row r="54" spans="1:33" ht="12.75">
      <c r="A54" s="416">
        <v>36221</v>
      </c>
      <c r="B54" s="163"/>
      <c r="C54" s="163"/>
      <c r="D54"/>
      <c r="E54"/>
      <c r="F54"/>
      <c r="G54"/>
      <c r="H54"/>
      <c r="I54"/>
      <c r="J54"/>
      <c r="K54"/>
      <c r="L54"/>
      <c r="M54"/>
      <c r="N54"/>
      <c r="O54"/>
      <c r="P54"/>
      <c r="Q54"/>
      <c r="R54"/>
      <c r="S54"/>
      <c r="T54"/>
      <c r="U54"/>
      <c r="V54"/>
      <c r="W54"/>
      <c r="X54"/>
      <c r="Y54"/>
      <c r="Z54"/>
      <c r="AA54"/>
      <c r="AB54"/>
      <c r="AC54"/>
      <c r="AD54"/>
      <c r="AE54"/>
      <c r="AF54"/>
      <c r="AG54"/>
    </row>
    <row r="55" spans="1:33" ht="12.75">
      <c r="A55" s="164" t="s">
        <v>427</v>
      </c>
      <c r="B55" s="172">
        <v>36648.525332978068</v>
      </c>
      <c r="C55" s="163" t="s">
        <v>534</v>
      </c>
      <c r="D55"/>
      <c r="E55"/>
      <c r="F55"/>
      <c r="G55"/>
      <c r="H55"/>
      <c r="I55"/>
      <c r="J55"/>
      <c r="K55"/>
      <c r="L55"/>
      <c r="M55"/>
      <c r="N55"/>
      <c r="O55"/>
      <c r="P55"/>
      <c r="Q55"/>
      <c r="R55"/>
      <c r="S55"/>
      <c r="T55"/>
      <c r="U55"/>
      <c r="V55"/>
      <c r="W55"/>
      <c r="X55"/>
      <c r="Y55"/>
      <c r="Z55"/>
      <c r="AA55"/>
      <c r="AB55"/>
      <c r="AC55"/>
      <c r="AD55"/>
      <c r="AE55"/>
      <c r="AF55"/>
      <c r="AG55"/>
    </row>
    <row r="56" spans="1:33" ht="12.75">
      <c r="A56" s="165" t="s">
        <v>428</v>
      </c>
      <c r="B56" s="173">
        <v>71440.905867096837</v>
      </c>
      <c r="C56" s="163"/>
      <c r="D56"/>
      <c r="E56"/>
      <c r="F56"/>
      <c r="G56"/>
      <c r="H56"/>
      <c r="I56"/>
      <c r="J56"/>
      <c r="K56"/>
      <c r="L56"/>
      <c r="M56"/>
      <c r="N56"/>
      <c r="O56"/>
      <c r="P56"/>
      <c r="Q56"/>
      <c r="R56"/>
      <c r="S56"/>
      <c r="T56"/>
      <c r="U56"/>
      <c r="V56"/>
      <c r="W56"/>
      <c r="X56"/>
      <c r="Y56"/>
      <c r="Z56"/>
      <c r="AA56"/>
      <c r="AB56"/>
      <c r="AC56"/>
      <c r="AD56"/>
      <c r="AE56"/>
      <c r="AF56"/>
      <c r="AG56"/>
    </row>
    <row r="57" spans="1:33" ht="12.75">
      <c r="A57" s="166" t="s">
        <v>429</v>
      </c>
      <c r="B57" s="580" t="s">
        <v>499</v>
      </c>
      <c r="C57" s="580" t="s">
        <v>500</v>
      </c>
      <c r="D57" s="582">
        <v>1999</v>
      </c>
      <c r="E57" s="583">
        <v>2000</v>
      </c>
      <c r="F57" s="583">
        <v>2001</v>
      </c>
      <c r="G57" s="583">
        <v>2002</v>
      </c>
      <c r="H57" s="583">
        <v>2003</v>
      </c>
      <c r="I57" s="583">
        <v>2004</v>
      </c>
      <c r="J57" s="583">
        <v>2005</v>
      </c>
      <c r="K57" s="583">
        <v>2006</v>
      </c>
      <c r="L57" s="583">
        <v>2007</v>
      </c>
      <c r="M57" s="583">
        <v>2008</v>
      </c>
      <c r="N57" s="583">
        <v>2009</v>
      </c>
      <c r="O57" s="584">
        <v>2010</v>
      </c>
      <c r="P57" s="171">
        <v>2011</v>
      </c>
      <c r="Q57" s="171">
        <v>2012</v>
      </c>
      <c r="R57" s="171">
        <v>2013</v>
      </c>
      <c r="S57" s="171">
        <v>2014</v>
      </c>
      <c r="T57" s="171">
        <v>2015</v>
      </c>
      <c r="U57" s="171">
        <v>2016</v>
      </c>
      <c r="V57" s="171">
        <v>2017</v>
      </c>
      <c r="W57" s="171">
        <v>2018</v>
      </c>
      <c r="X57" s="171">
        <v>2019</v>
      </c>
      <c r="Y57" s="171">
        <v>2020</v>
      </c>
      <c r="Z57"/>
      <c r="AA57"/>
      <c r="AB57"/>
      <c r="AC57"/>
      <c r="AD57"/>
      <c r="AE57"/>
      <c r="AF57"/>
      <c r="AG57"/>
    </row>
    <row r="58" spans="1:33" ht="12.75">
      <c r="A58" s="166" t="s">
        <v>430</v>
      </c>
      <c r="B58" s="581">
        <f>NPV(0.1,D58:Y58)</f>
        <v>430162.92253933649</v>
      </c>
      <c r="C58" s="581">
        <f>B58-B48</f>
        <v>-662.2939262559521</v>
      </c>
      <c r="D58" s="585">
        <v>26456.16517218751</v>
      </c>
      <c r="E58" s="586">
        <v>36622.816768205368</v>
      </c>
      <c r="F58" s="586">
        <v>36899.746726638754</v>
      </c>
      <c r="G58" s="586">
        <v>37130.460845427748</v>
      </c>
      <c r="H58" s="586">
        <v>46551.621850797776</v>
      </c>
      <c r="I58" s="586">
        <v>54368.336326315562</v>
      </c>
      <c r="J58" s="586">
        <v>55774.108175254165</v>
      </c>
      <c r="K58" s="586">
        <v>56836.434077905724</v>
      </c>
      <c r="L58" s="586">
        <v>58014.036281411987</v>
      </c>
      <c r="M58" s="586">
        <v>59306.280178476387</v>
      </c>
      <c r="N58" s="586">
        <v>60748.639046920085</v>
      </c>
      <c r="O58" s="587">
        <v>62343.69174515373</v>
      </c>
      <c r="P58" s="167">
        <v>64230.909919159676</v>
      </c>
      <c r="Q58" s="167">
        <v>66205.417394810589</v>
      </c>
      <c r="R58" s="167">
        <v>68260.193684227444</v>
      </c>
      <c r="S58" s="167">
        <v>70358.617934890586</v>
      </c>
      <c r="T58" s="167">
        <v>72482.439569493581</v>
      </c>
      <c r="U58" s="167">
        <v>74297.476797508541</v>
      </c>
      <c r="V58" s="167">
        <v>76073.923157972866</v>
      </c>
      <c r="W58" s="167">
        <v>77846.438412749994</v>
      </c>
      <c r="X58" s="167">
        <v>0</v>
      </c>
      <c r="Y58" s="167">
        <v>0</v>
      </c>
      <c r="Z58"/>
      <c r="AA58"/>
      <c r="AB58"/>
      <c r="AC58"/>
      <c r="AD58"/>
      <c r="AE58"/>
      <c r="AF58"/>
      <c r="AG58"/>
    </row>
    <row r="59" spans="1:33" ht="12.75">
      <c r="A59" s="168" t="s">
        <v>431</v>
      </c>
      <c r="B59" s="581">
        <f>NPV(0.1,D59:Y59)</f>
        <v>204858.01854165501</v>
      </c>
      <c r="C59" s="581">
        <f>B59-B49</f>
        <v>0</v>
      </c>
      <c r="D59" s="585">
        <v>16747.436042373629</v>
      </c>
      <c r="E59" s="586">
        <v>20539.175971318655</v>
      </c>
      <c r="F59" s="586">
        <v>20873.562967685768</v>
      </c>
      <c r="G59" s="586">
        <v>21163.793360183081</v>
      </c>
      <c r="H59" s="586">
        <v>21526.239012933704</v>
      </c>
      <c r="I59" s="586">
        <v>21970.175616165394</v>
      </c>
      <c r="J59" s="586">
        <v>22495.682534555948</v>
      </c>
      <c r="K59" s="586">
        <v>23133.53147979809</v>
      </c>
      <c r="L59" s="586">
        <v>23892.539414414849</v>
      </c>
      <c r="M59" s="586">
        <v>24772.793062332479</v>
      </c>
      <c r="N59" s="586">
        <v>25805.071715269645</v>
      </c>
      <c r="O59" s="587">
        <v>27782.64546908089</v>
      </c>
      <c r="P59" s="167">
        <v>29076.79553069239</v>
      </c>
      <c r="Q59" s="167">
        <v>30443.370124315414</v>
      </c>
      <c r="R59" s="167">
        <v>31892.241942603792</v>
      </c>
      <c r="S59" s="167">
        <v>33387.377035400721</v>
      </c>
      <c r="T59" s="167">
        <v>34878.45661150894</v>
      </c>
      <c r="U59" s="167">
        <v>36373.391549527536</v>
      </c>
      <c r="V59" s="167">
        <v>37853.814203426475</v>
      </c>
      <c r="W59" s="167">
        <v>39454.034291708951</v>
      </c>
      <c r="X59" s="167">
        <v>0</v>
      </c>
      <c r="Y59" s="167">
        <v>0</v>
      </c>
      <c r="Z59"/>
      <c r="AA59"/>
      <c r="AB59"/>
      <c r="AC59"/>
      <c r="AD59"/>
      <c r="AE59"/>
      <c r="AF59"/>
      <c r="AG59"/>
    </row>
    <row r="60" spans="1:33" ht="12.75">
      <c r="A60" s="168" t="s">
        <v>34</v>
      </c>
      <c r="B60" s="581">
        <f>NPV(0.1,D60:Y60)</f>
        <v>84094.281537881441</v>
      </c>
      <c r="C60" s="581">
        <f>B60-B50</f>
        <v>-11.080691062801634</v>
      </c>
      <c r="D60" s="585">
        <v>713.161638232737</v>
      </c>
      <c r="E60" s="586">
        <v>1661.3530442523754</v>
      </c>
      <c r="F60" s="586">
        <v>1763.4892661619117</v>
      </c>
      <c r="G60" s="586">
        <v>1861.1983890296358</v>
      </c>
      <c r="H60" s="586">
        <v>7464.3505647420525</v>
      </c>
      <c r="I60" s="586">
        <v>12273.69231455977</v>
      </c>
      <c r="J60" s="586">
        <v>13192.965409877093</v>
      </c>
      <c r="K60" s="586">
        <v>13758.936333207972</v>
      </c>
      <c r="L60" s="586">
        <v>14375.406593904252</v>
      </c>
      <c r="M60" s="586">
        <v>15024.394941707917</v>
      </c>
      <c r="N60" s="586">
        <v>15711.584931266181</v>
      </c>
      <c r="O60" s="587">
        <v>15929.170484366401</v>
      </c>
      <c r="P60" s="167">
        <v>16802.053051805342</v>
      </c>
      <c r="Q60" s="167">
        <v>17736.019859499836</v>
      </c>
      <c r="R60" s="167">
        <v>18575.49713838485</v>
      </c>
      <c r="S60" s="167">
        <v>19622.50971614321</v>
      </c>
      <c r="T60" s="167">
        <v>20039.388419680618</v>
      </c>
      <c r="U60" s="167">
        <v>20246.143751188261</v>
      </c>
      <c r="V60" s="167">
        <v>20438.30958709339</v>
      </c>
      <c r="W60" s="167">
        <v>20525.654452832277</v>
      </c>
      <c r="X60" s="167">
        <v>0</v>
      </c>
      <c r="Y60" s="167">
        <v>0</v>
      </c>
      <c r="Z60"/>
      <c r="AA60"/>
      <c r="AB60"/>
      <c r="AC60"/>
      <c r="AD60"/>
      <c r="AE60"/>
      <c r="AF60"/>
      <c r="AG60"/>
    </row>
    <row r="61" spans="1:33" ht="12.75">
      <c r="A61" s="168" t="s">
        <v>31</v>
      </c>
      <c r="B61" s="581">
        <f>NPV(0.1,D61:Y61)</f>
        <v>99150.272668318008</v>
      </c>
      <c r="C61" s="581">
        <f>B61-B51</f>
        <v>138.81184831987775</v>
      </c>
      <c r="D61" s="588">
        <v>3402.91615931765</v>
      </c>
      <c r="E61" s="589">
        <v>6176.0080517646056</v>
      </c>
      <c r="F61" s="589">
        <v>5614.8860850924957</v>
      </c>
      <c r="G61" s="589">
        <v>5584.4579722963663</v>
      </c>
      <c r="H61" s="589">
        <v>15305.246369222141</v>
      </c>
      <c r="I61" s="589">
        <v>16988.537659534431</v>
      </c>
      <c r="J61" s="589">
        <v>13214.628769738963</v>
      </c>
      <c r="K61" s="589">
        <v>13106.894357470439</v>
      </c>
      <c r="L61" s="589">
        <v>12991.499905410301</v>
      </c>
      <c r="M61" s="589">
        <v>12863.521674159569</v>
      </c>
      <c r="N61" s="589">
        <v>12694.412318029348</v>
      </c>
      <c r="O61" s="590">
        <v>13105.35865948436</v>
      </c>
      <c r="P61" s="167">
        <v>12094.045226660424</v>
      </c>
      <c r="Q61" s="167">
        <v>11892.032808437249</v>
      </c>
      <c r="R61" s="167">
        <v>16893.552998151714</v>
      </c>
      <c r="S61" s="167">
        <v>23150.356272187884</v>
      </c>
      <c r="T61" s="167">
        <v>23097.441155839344</v>
      </c>
      <c r="U61" s="167">
        <v>23292.823212086892</v>
      </c>
      <c r="V61" s="167">
        <v>23489.939902115984</v>
      </c>
      <c r="W61" s="167">
        <v>23680.29933285488</v>
      </c>
      <c r="X61" s="167">
        <v>0</v>
      </c>
      <c r="Y61" s="167">
        <v>0</v>
      </c>
      <c r="Z61"/>
      <c r="AA61"/>
      <c r="AB61"/>
      <c r="AC61"/>
      <c r="AD61"/>
      <c r="AE61"/>
      <c r="AF61"/>
      <c r="AG61"/>
    </row>
    <row r="62" spans="1:33" ht="12.75">
      <c r="A62" s="163"/>
      <c r="B62" s="163"/>
      <c r="C62" s="163"/>
      <c r="D62"/>
      <c r="E62"/>
      <c r="F62"/>
      <c r="G62"/>
      <c r="H62"/>
      <c r="I62"/>
      <c r="J62"/>
      <c r="K62"/>
      <c r="L62"/>
      <c r="M62"/>
      <c r="N62"/>
      <c r="O62"/>
      <c r="P62"/>
      <c r="Q62"/>
      <c r="R62"/>
      <c r="S62"/>
      <c r="T62"/>
      <c r="U62"/>
      <c r="V62"/>
      <c r="W62"/>
      <c r="X62"/>
      <c r="Y62"/>
      <c r="Z62"/>
      <c r="AA62"/>
      <c r="AB62"/>
      <c r="AC62"/>
      <c r="AD62"/>
      <c r="AE62"/>
      <c r="AF62"/>
      <c r="AG62"/>
    </row>
    <row r="63" spans="1:33" ht="12.75">
      <c r="A63" s="169" t="s">
        <v>466</v>
      </c>
      <c r="B63" s="163"/>
      <c r="C63" s="163"/>
      <c r="D63"/>
      <c r="E63"/>
      <c r="F63"/>
      <c r="G63"/>
      <c r="H63"/>
      <c r="I63"/>
      <c r="J63"/>
      <c r="K63"/>
      <c r="L63"/>
      <c r="M63"/>
      <c r="N63"/>
      <c r="O63"/>
      <c r="P63"/>
      <c r="Q63"/>
      <c r="R63"/>
      <c r="S63"/>
      <c r="T63"/>
      <c r="U63"/>
      <c r="V63"/>
      <c r="W63"/>
      <c r="X63"/>
      <c r="Y63"/>
      <c r="Z63"/>
      <c r="AA63"/>
      <c r="AB63"/>
      <c r="AC63"/>
      <c r="AD63"/>
      <c r="AE63"/>
      <c r="AF63"/>
      <c r="AG63"/>
    </row>
    <row r="64" spans="1:33" ht="12.75" outlineLevel="1">
      <c r="A64" s="416">
        <v>36221</v>
      </c>
      <c r="B64" s="163"/>
      <c r="C64" s="163"/>
      <c r="D64"/>
      <c r="E64"/>
      <c r="F64"/>
      <c r="G64"/>
      <c r="H64"/>
      <c r="I64"/>
      <c r="J64"/>
      <c r="K64"/>
      <c r="L64"/>
      <c r="M64"/>
      <c r="N64"/>
      <c r="O64"/>
      <c r="P64"/>
      <c r="Q64"/>
      <c r="R64"/>
      <c r="S64"/>
      <c r="T64"/>
      <c r="U64"/>
      <c r="V64"/>
      <c r="W64"/>
      <c r="X64"/>
      <c r="Y64"/>
      <c r="Z64"/>
      <c r="AA64"/>
      <c r="AB64"/>
      <c r="AC64"/>
      <c r="AD64"/>
      <c r="AE64"/>
      <c r="AF64"/>
      <c r="AG64"/>
    </row>
    <row r="65" spans="1:33" ht="12.75" outlineLevel="1">
      <c r="A65" s="164" t="s">
        <v>427</v>
      </c>
      <c r="B65" s="172">
        <v>36634.350364570528</v>
      </c>
      <c r="C65" s="163" t="s">
        <v>534</v>
      </c>
      <c r="D65"/>
      <c r="E65"/>
      <c r="F65"/>
      <c r="G65"/>
      <c r="H65"/>
      <c r="I65"/>
      <c r="J65"/>
      <c r="K65"/>
      <c r="L65"/>
      <c r="M65"/>
      <c r="N65"/>
      <c r="O65"/>
      <c r="P65"/>
      <c r="Q65"/>
      <c r="R65"/>
      <c r="S65"/>
      <c r="T65"/>
      <c r="U65"/>
      <c r="V65"/>
      <c r="W65"/>
      <c r="X65"/>
      <c r="Y65"/>
      <c r="Z65"/>
      <c r="AA65"/>
      <c r="AB65"/>
      <c r="AC65"/>
      <c r="AD65"/>
      <c r="AE65"/>
      <c r="AF65"/>
      <c r="AG65"/>
    </row>
    <row r="66" spans="1:33" ht="12.75" outlineLevel="1">
      <c r="A66" s="165" t="s">
        <v>428</v>
      </c>
      <c r="B66" s="173">
        <v>71423.447922877851</v>
      </c>
      <c r="C66" s="163"/>
      <c r="D66"/>
      <c r="E66"/>
      <c r="F66"/>
      <c r="G66"/>
      <c r="H66"/>
      <c r="I66"/>
      <c r="J66"/>
      <c r="K66"/>
      <c r="L66"/>
      <c r="M66"/>
      <c r="N66"/>
      <c r="O66"/>
      <c r="P66"/>
      <c r="Q66"/>
      <c r="R66"/>
      <c r="S66"/>
      <c r="T66"/>
      <c r="U66"/>
      <c r="V66"/>
      <c r="W66"/>
      <c r="X66"/>
      <c r="Y66"/>
      <c r="Z66"/>
      <c r="AA66"/>
      <c r="AB66"/>
      <c r="AC66"/>
      <c r="AD66"/>
      <c r="AE66"/>
      <c r="AF66"/>
      <c r="AG66"/>
    </row>
    <row r="67" spans="1:33" ht="12.75" outlineLevel="1">
      <c r="A67" s="166" t="s">
        <v>429</v>
      </c>
      <c r="B67" s="580" t="s">
        <v>499</v>
      </c>
      <c r="C67" s="580" t="s">
        <v>500</v>
      </c>
      <c r="D67" s="582">
        <v>1999</v>
      </c>
      <c r="E67" s="583">
        <v>2000</v>
      </c>
      <c r="F67" s="583">
        <v>2001</v>
      </c>
      <c r="G67" s="583">
        <v>2002</v>
      </c>
      <c r="H67" s="583">
        <v>2003</v>
      </c>
      <c r="I67" s="583">
        <v>2004</v>
      </c>
      <c r="J67" s="583">
        <v>2005</v>
      </c>
      <c r="K67" s="583">
        <v>2006</v>
      </c>
      <c r="L67" s="583">
        <v>2007</v>
      </c>
      <c r="M67" s="583">
        <v>2008</v>
      </c>
      <c r="N67" s="583">
        <v>2009</v>
      </c>
      <c r="O67" s="584">
        <v>2010</v>
      </c>
      <c r="P67" s="171">
        <v>2011</v>
      </c>
      <c r="Q67" s="171">
        <v>2012</v>
      </c>
      <c r="R67" s="171">
        <v>2013</v>
      </c>
      <c r="S67" s="171">
        <v>2014</v>
      </c>
      <c r="T67" s="171">
        <v>2015</v>
      </c>
      <c r="U67" s="171">
        <v>2016</v>
      </c>
      <c r="V67" s="171">
        <v>2017</v>
      </c>
      <c r="W67" s="171">
        <v>2018</v>
      </c>
      <c r="X67" s="171">
        <v>2019</v>
      </c>
      <c r="Y67" s="171">
        <v>2020</v>
      </c>
      <c r="Z67"/>
      <c r="AA67"/>
      <c r="AB67"/>
      <c r="AC67"/>
      <c r="AD67"/>
      <c r="AE67"/>
      <c r="AF67"/>
      <c r="AG67"/>
    </row>
    <row r="68" spans="1:33" ht="12.75" outlineLevel="1">
      <c r="A68" s="166" t="s">
        <v>430</v>
      </c>
      <c r="B68" s="581">
        <f>NPV(0.1,D68:Y68)</f>
        <v>430162.92253933649</v>
      </c>
      <c r="C68" s="581">
        <f>B68-B58</f>
        <v>0</v>
      </c>
      <c r="D68" s="585">
        <v>26456.16517218751</v>
      </c>
      <c r="E68" s="586">
        <v>36622.816768205368</v>
      </c>
      <c r="F68" s="586">
        <v>36899.746726638754</v>
      </c>
      <c r="G68" s="586">
        <v>37130.460845427748</v>
      </c>
      <c r="H68" s="586">
        <v>46551.621850797776</v>
      </c>
      <c r="I68" s="586">
        <v>54368.336326315562</v>
      </c>
      <c r="J68" s="586">
        <v>55774.108175254165</v>
      </c>
      <c r="K68" s="586">
        <v>56836.434077905724</v>
      </c>
      <c r="L68" s="586">
        <v>58014.036281411987</v>
      </c>
      <c r="M68" s="586">
        <v>59306.280178476387</v>
      </c>
      <c r="N68" s="586">
        <v>60748.639046920085</v>
      </c>
      <c r="O68" s="587">
        <v>62343.69174515373</v>
      </c>
      <c r="P68" s="167">
        <v>64230.909919159676</v>
      </c>
      <c r="Q68" s="167">
        <v>66205.417394810589</v>
      </c>
      <c r="R68" s="167">
        <v>68260.193684227444</v>
      </c>
      <c r="S68" s="167">
        <v>70358.617934890586</v>
      </c>
      <c r="T68" s="167">
        <v>72482.439569493581</v>
      </c>
      <c r="U68" s="167">
        <v>74297.476797508541</v>
      </c>
      <c r="V68" s="167">
        <v>76073.923157972866</v>
      </c>
      <c r="W68" s="167">
        <v>77846.438412749994</v>
      </c>
      <c r="X68" s="167">
        <v>0</v>
      </c>
      <c r="Y68" s="167">
        <v>0</v>
      </c>
      <c r="Z68"/>
      <c r="AA68"/>
      <c r="AB68"/>
      <c r="AC68"/>
      <c r="AD68"/>
      <c r="AE68"/>
      <c r="AF68"/>
      <c r="AG68"/>
    </row>
    <row r="69" spans="1:33" ht="12.75" outlineLevel="1">
      <c r="A69" s="168" t="s">
        <v>431</v>
      </c>
      <c r="B69" s="581">
        <f>NPV(0.1,D69:Y69)</f>
        <v>204841.6549052913</v>
      </c>
      <c r="C69" s="581">
        <f>B69-B59</f>
        <v>-16.363636363705155</v>
      </c>
      <c r="D69" s="585">
        <v>16729.4360423736</v>
      </c>
      <c r="E69" s="586">
        <v>20539.175971318655</v>
      </c>
      <c r="F69" s="586">
        <v>20873.562967685768</v>
      </c>
      <c r="G69" s="586">
        <v>21163.793360183081</v>
      </c>
      <c r="H69" s="586">
        <v>21526.239012933704</v>
      </c>
      <c r="I69" s="586">
        <v>21970.175616165394</v>
      </c>
      <c r="J69" s="586">
        <v>22495.682534555948</v>
      </c>
      <c r="K69" s="586">
        <v>23133.53147979809</v>
      </c>
      <c r="L69" s="586">
        <v>23892.539414414849</v>
      </c>
      <c r="M69" s="586">
        <v>24772.793062332479</v>
      </c>
      <c r="N69" s="586">
        <v>25805.071715269645</v>
      </c>
      <c r="O69" s="587">
        <v>27782.64546908089</v>
      </c>
      <c r="P69" s="167">
        <v>29076.79553069239</v>
      </c>
      <c r="Q69" s="167">
        <v>30443.370124315414</v>
      </c>
      <c r="R69" s="167">
        <v>31892.241942603792</v>
      </c>
      <c r="S69" s="167">
        <v>33387.377035400721</v>
      </c>
      <c r="T69" s="167">
        <v>34878.45661150894</v>
      </c>
      <c r="U69" s="167">
        <v>36373.391549527536</v>
      </c>
      <c r="V69" s="167">
        <v>37853.814203426475</v>
      </c>
      <c r="W69" s="167">
        <v>39454.034291708951</v>
      </c>
      <c r="X69" s="167">
        <v>0</v>
      </c>
      <c r="Y69" s="167">
        <v>0</v>
      </c>
      <c r="Z69"/>
      <c r="AA69"/>
      <c r="AB69"/>
      <c r="AC69"/>
      <c r="AD69"/>
      <c r="AE69"/>
      <c r="AF69"/>
      <c r="AG69"/>
    </row>
    <row r="70" spans="1:33" ht="12.75" outlineLevel="1">
      <c r="A70" s="168" t="s">
        <v>34</v>
      </c>
      <c r="B70" s="581">
        <f>NPV(0.1,D70:Y70)</f>
        <v>84084.261186054922</v>
      </c>
      <c r="C70" s="581">
        <f>B70-B60</f>
        <v>-10.02035182651889</v>
      </c>
      <c r="D70" s="585">
        <v>702.13925122357159</v>
      </c>
      <c r="E70" s="586">
        <v>1661.3530442523754</v>
      </c>
      <c r="F70" s="586">
        <v>1763.4892661619117</v>
      </c>
      <c r="G70" s="586">
        <v>1861.1983890296362</v>
      </c>
      <c r="H70" s="586">
        <v>7464.3505647420525</v>
      </c>
      <c r="I70" s="586">
        <v>12273.69231455977</v>
      </c>
      <c r="J70" s="586">
        <v>13192.965409877093</v>
      </c>
      <c r="K70" s="586">
        <v>13758.936333207972</v>
      </c>
      <c r="L70" s="586">
        <v>14375.406593904252</v>
      </c>
      <c r="M70" s="586">
        <v>15024.394941707917</v>
      </c>
      <c r="N70" s="586">
        <v>15711.584931266181</v>
      </c>
      <c r="O70" s="587">
        <v>15929.170484366401</v>
      </c>
      <c r="P70" s="167">
        <v>16802.053051805342</v>
      </c>
      <c r="Q70" s="167">
        <v>17736.019859499836</v>
      </c>
      <c r="R70" s="167">
        <v>18575.49713838485</v>
      </c>
      <c r="S70" s="167">
        <v>19622.50971614321</v>
      </c>
      <c r="T70" s="167">
        <v>20039.388419680618</v>
      </c>
      <c r="U70" s="167">
        <v>20246.143751188261</v>
      </c>
      <c r="V70" s="167">
        <v>20438.30958709339</v>
      </c>
      <c r="W70" s="167">
        <v>20525.654452832277</v>
      </c>
      <c r="X70" s="167">
        <v>0</v>
      </c>
      <c r="Y70" s="167">
        <v>0</v>
      </c>
      <c r="Z70"/>
      <c r="AA70"/>
      <c r="AB70"/>
      <c r="AC70"/>
      <c r="AD70"/>
      <c r="AE70"/>
      <c r="AF70"/>
      <c r="AG70"/>
    </row>
    <row r="71" spans="1:33" ht="12.75" outlineLevel="1">
      <c r="A71" s="168" t="s">
        <v>31</v>
      </c>
      <c r="B71" s="581">
        <f>NPV(0.1,D71:Y71)</f>
        <v>99148.1938783964</v>
      </c>
      <c r="C71" s="581">
        <f>B71-B61</f>
        <v>-2.0787899216084043</v>
      </c>
      <c r="D71" s="588">
        <v>3396.7894884843181</v>
      </c>
      <c r="E71" s="589">
        <v>6176.0080517646056</v>
      </c>
      <c r="F71" s="589">
        <v>5614.8860850924957</v>
      </c>
      <c r="G71" s="589">
        <v>5584.4579722963663</v>
      </c>
      <c r="H71" s="589">
        <v>15305.246369222141</v>
      </c>
      <c r="I71" s="589">
        <v>16994.729691827681</v>
      </c>
      <c r="J71" s="589">
        <v>13214.627736888728</v>
      </c>
      <c r="K71" s="589">
        <v>13106.89332294182</v>
      </c>
      <c r="L71" s="589">
        <v>12991.498869200574</v>
      </c>
      <c r="M71" s="589">
        <v>12863.520636266001</v>
      </c>
      <c r="N71" s="589">
        <v>12694.411278449203</v>
      </c>
      <c r="O71" s="590">
        <v>13105.357618214897</v>
      </c>
      <c r="P71" s="167">
        <v>12094.044183698899</v>
      </c>
      <c r="Q71" s="167">
        <v>11892.031763780911</v>
      </c>
      <c r="R71" s="167">
        <v>16893.55195179781</v>
      </c>
      <c r="S71" s="167">
        <v>23150.355224133651</v>
      </c>
      <c r="T71" s="167">
        <v>23097.440106082027</v>
      </c>
      <c r="U71" s="167">
        <v>23292.822160623717</v>
      </c>
      <c r="V71" s="167">
        <v>23489.938848944181</v>
      </c>
      <c r="W71" s="167">
        <v>23680.298277971673</v>
      </c>
      <c r="X71" s="167">
        <v>0</v>
      </c>
      <c r="Y71" s="167">
        <v>0</v>
      </c>
      <c r="Z71"/>
      <c r="AA71"/>
      <c r="AB71"/>
      <c r="AC71"/>
      <c r="AD71"/>
      <c r="AE71"/>
      <c r="AF71"/>
      <c r="AG71"/>
    </row>
    <row r="72" spans="1:33" ht="12.75" outlineLevel="1">
      <c r="A72" s="163"/>
      <c r="B72" s="163"/>
      <c r="C72" s="163"/>
      <c r="D72"/>
      <c r="E72"/>
      <c r="F72"/>
      <c r="G72"/>
      <c r="H72"/>
      <c r="I72"/>
      <c r="J72"/>
      <c r="K72"/>
      <c r="L72"/>
      <c r="M72"/>
      <c r="N72"/>
      <c r="O72"/>
      <c r="P72"/>
      <c r="Q72"/>
      <c r="R72"/>
      <c r="S72"/>
      <c r="T72"/>
      <c r="U72"/>
      <c r="V72"/>
      <c r="W72"/>
      <c r="X72"/>
      <c r="Y72"/>
      <c r="Z72"/>
      <c r="AA72"/>
      <c r="AB72"/>
      <c r="AC72"/>
      <c r="AD72"/>
      <c r="AE72"/>
      <c r="AF72"/>
      <c r="AG72"/>
    </row>
    <row r="73" spans="1:33" ht="12.75" outlineLevel="1">
      <c r="A73" s="169" t="s">
        <v>479</v>
      </c>
      <c r="B73" s="163"/>
      <c r="C73" s="163"/>
      <c r="D73"/>
      <c r="E73"/>
      <c r="F73"/>
      <c r="G73"/>
      <c r="H73"/>
      <c r="I73"/>
      <c r="J73"/>
      <c r="K73"/>
      <c r="L73"/>
      <c r="M73"/>
      <c r="N73"/>
      <c r="O73"/>
      <c r="P73"/>
      <c r="Q73"/>
      <c r="R73"/>
      <c r="S73"/>
      <c r="T73"/>
      <c r="U73"/>
      <c r="V73"/>
      <c r="W73"/>
      <c r="X73"/>
      <c r="Y73"/>
      <c r="Z73"/>
      <c r="AA73"/>
      <c r="AB73"/>
      <c r="AC73"/>
      <c r="AD73"/>
      <c r="AE73"/>
      <c r="AF73"/>
      <c r="AG73"/>
    </row>
    <row r="74" spans="1:33" ht="12.75" outlineLevel="1">
      <c r="A74" s="416">
        <v>36227</v>
      </c>
      <c r="B74" s="163"/>
      <c r="C74" s="163"/>
      <c r="D74"/>
      <c r="E74"/>
      <c r="F74"/>
      <c r="G74"/>
      <c r="H74"/>
      <c r="I74"/>
      <c r="J74"/>
      <c r="K74"/>
      <c r="L74"/>
      <c r="M74"/>
      <c r="N74"/>
      <c r="O74"/>
      <c r="P74"/>
      <c r="Q74"/>
      <c r="R74"/>
      <c r="S74"/>
      <c r="T74"/>
      <c r="U74"/>
      <c r="V74"/>
      <c r="W74"/>
      <c r="X74"/>
      <c r="Y74"/>
      <c r="Z74"/>
      <c r="AA74"/>
      <c r="AB74"/>
      <c r="AC74"/>
      <c r="AD74"/>
      <c r="AE74"/>
      <c r="AF74"/>
      <c r="AG74"/>
    </row>
    <row r="75" spans="1:33" ht="12.75" outlineLevel="1">
      <c r="A75" s="164" t="s">
        <v>427</v>
      </c>
      <c r="B75" s="172">
        <v>36789.017299838742</v>
      </c>
      <c r="C75" s="163" t="s">
        <v>534</v>
      </c>
      <c r="D75"/>
      <c r="E75"/>
      <c r="F75"/>
      <c r="G75"/>
      <c r="H75"/>
      <c r="I75"/>
      <c r="J75"/>
      <c r="K75"/>
      <c r="L75"/>
      <c r="M75"/>
      <c r="N75"/>
      <c r="O75"/>
      <c r="P75"/>
      <c r="Q75"/>
      <c r="R75"/>
      <c r="S75"/>
      <c r="T75"/>
      <c r="U75"/>
      <c r="V75"/>
      <c r="W75"/>
      <c r="X75"/>
      <c r="Y75"/>
      <c r="Z75"/>
      <c r="AA75"/>
      <c r="AB75"/>
      <c r="AC75"/>
      <c r="AD75"/>
      <c r="AE75"/>
      <c r="AF75"/>
      <c r="AG75"/>
    </row>
    <row r="76" spans="1:33" ht="12.75" outlineLevel="1">
      <c r="A76" s="165" t="s">
        <v>428</v>
      </c>
      <c r="B76" s="173">
        <v>71616.685635352842</v>
      </c>
      <c r="C76" s="163"/>
      <c r="D76"/>
      <c r="E76"/>
      <c r="F76"/>
      <c r="G76"/>
      <c r="H76"/>
      <c r="I76"/>
      <c r="J76"/>
      <c r="K76"/>
      <c r="L76"/>
      <c r="M76"/>
      <c r="N76"/>
      <c r="O76"/>
      <c r="P76"/>
      <c r="Q76"/>
      <c r="R76"/>
      <c r="S76"/>
      <c r="T76"/>
      <c r="U76"/>
      <c r="V76"/>
      <c r="W76"/>
      <c r="X76"/>
      <c r="Y76"/>
      <c r="Z76"/>
      <c r="AA76"/>
      <c r="AB76"/>
      <c r="AC76"/>
      <c r="AD76"/>
      <c r="AE76"/>
      <c r="AF76"/>
      <c r="AG76"/>
    </row>
    <row r="77" spans="1:33" ht="12.75" outlineLevel="1">
      <c r="A77" s="166" t="s">
        <v>429</v>
      </c>
      <c r="B77" s="580" t="s">
        <v>499</v>
      </c>
      <c r="C77" s="580" t="s">
        <v>500</v>
      </c>
      <c r="D77" s="582">
        <v>1999</v>
      </c>
      <c r="E77" s="583">
        <v>2000</v>
      </c>
      <c r="F77" s="583">
        <v>2001</v>
      </c>
      <c r="G77" s="583">
        <v>2002</v>
      </c>
      <c r="H77" s="583">
        <v>2003</v>
      </c>
      <c r="I77" s="583">
        <v>2004</v>
      </c>
      <c r="J77" s="583">
        <v>2005</v>
      </c>
      <c r="K77" s="583">
        <v>2006</v>
      </c>
      <c r="L77" s="583">
        <v>2007</v>
      </c>
      <c r="M77" s="583">
        <v>2008</v>
      </c>
      <c r="N77" s="583">
        <v>2009</v>
      </c>
      <c r="O77" s="584">
        <v>2010</v>
      </c>
      <c r="P77" s="171">
        <v>2011</v>
      </c>
      <c r="Q77" s="171">
        <v>2012</v>
      </c>
      <c r="R77" s="171">
        <v>2013</v>
      </c>
      <c r="S77" s="171">
        <v>2014</v>
      </c>
      <c r="T77" s="171">
        <v>2015</v>
      </c>
      <c r="U77" s="171">
        <v>2016</v>
      </c>
      <c r="V77" s="171">
        <v>2017</v>
      </c>
      <c r="W77" s="171">
        <v>2018</v>
      </c>
      <c r="X77" s="171">
        <v>2019</v>
      </c>
      <c r="Y77" s="171">
        <v>2020</v>
      </c>
      <c r="Z77"/>
      <c r="AA77"/>
      <c r="AB77"/>
      <c r="AC77"/>
      <c r="AD77"/>
      <c r="AE77"/>
      <c r="AF77"/>
      <c r="AG77"/>
    </row>
    <row r="78" spans="1:33" ht="12.75" outlineLevel="1">
      <c r="A78" s="166" t="s">
        <v>430</v>
      </c>
      <c r="B78" s="581">
        <f>NPV(0.1,D78:Y78)</f>
        <v>430162.92253933649</v>
      </c>
      <c r="C78" s="581">
        <f>B78-B68</f>
        <v>0</v>
      </c>
      <c r="D78" s="585">
        <v>26456.16517218751</v>
      </c>
      <c r="E78" s="586">
        <v>36622.816768205368</v>
      </c>
      <c r="F78" s="586">
        <v>36899.746726638754</v>
      </c>
      <c r="G78" s="586">
        <v>37130.460845427748</v>
      </c>
      <c r="H78" s="586">
        <v>46551.621850797776</v>
      </c>
      <c r="I78" s="586">
        <v>54368.336326315562</v>
      </c>
      <c r="J78" s="586">
        <v>55774.108175254165</v>
      </c>
      <c r="K78" s="586">
        <v>56836.434077905724</v>
      </c>
      <c r="L78" s="586">
        <v>58014.036281411987</v>
      </c>
      <c r="M78" s="586">
        <v>59306.280178476387</v>
      </c>
      <c r="N78" s="586">
        <v>60748.639046920085</v>
      </c>
      <c r="O78" s="587">
        <v>62343.69174515373</v>
      </c>
      <c r="P78" s="167">
        <v>64230.909919159676</v>
      </c>
      <c r="Q78" s="167">
        <v>66205.417394810589</v>
      </c>
      <c r="R78" s="167">
        <v>68260.193684227444</v>
      </c>
      <c r="S78" s="167">
        <v>70358.617934890586</v>
      </c>
      <c r="T78" s="167">
        <v>72482.439569493581</v>
      </c>
      <c r="U78" s="167">
        <v>74297.476797508541</v>
      </c>
      <c r="V78" s="167">
        <v>76073.923157972866</v>
      </c>
      <c r="W78" s="167">
        <v>77846.438412749994</v>
      </c>
      <c r="X78" s="167">
        <v>0</v>
      </c>
      <c r="Y78" s="167">
        <v>0</v>
      </c>
      <c r="Z78"/>
      <c r="AA78"/>
      <c r="AB78"/>
      <c r="AC78"/>
      <c r="AD78"/>
      <c r="AE78"/>
      <c r="AF78"/>
      <c r="AG78"/>
    </row>
    <row r="79" spans="1:33" ht="12.75" outlineLevel="1">
      <c r="A79" s="168" t="s">
        <v>431</v>
      </c>
      <c r="B79" s="581">
        <f>NPV(0.1,D79:Y79)</f>
        <v>204644.24988714571</v>
      </c>
      <c r="C79" s="581">
        <f>B79-B69</f>
        <v>-197.40501814559684</v>
      </c>
      <c r="D79" s="585">
        <v>16718.002709040265</v>
      </c>
      <c r="E79" s="586">
        <v>20518.987971318656</v>
      </c>
      <c r="F79" s="586">
        <v>20852.769327685768</v>
      </c>
      <c r="G79" s="586">
        <v>21142.375910983079</v>
      </c>
      <c r="H79" s="586">
        <v>21504.179040257703</v>
      </c>
      <c r="I79" s="586">
        <v>21947.453844309115</v>
      </c>
      <c r="J79" s="586">
        <v>22472.279109543979</v>
      </c>
      <c r="K79" s="586">
        <v>23109.425952035763</v>
      </c>
      <c r="L79" s="586">
        <v>23867.71072081965</v>
      </c>
      <c r="M79" s="586">
        <v>24747.219507929425</v>
      </c>
      <c r="N79" s="586">
        <v>25778.730954234499</v>
      </c>
      <c r="O79" s="587">
        <v>27755.514485214691</v>
      </c>
      <c r="P79" s="167">
        <v>29048.850617310207</v>
      </c>
      <c r="Q79" s="167">
        <v>30414.586863531764</v>
      </c>
      <c r="R79" s="167">
        <v>31862.595183996633</v>
      </c>
      <c r="S79" s="167">
        <v>33356.840874035348</v>
      </c>
      <c r="T79" s="167">
        <v>34847.004365302608</v>
      </c>
      <c r="U79" s="167">
        <v>36340.995735935008</v>
      </c>
      <c r="V79" s="167">
        <v>37820.446515426171</v>
      </c>
      <c r="W79" s="167">
        <v>39419.66557306864</v>
      </c>
      <c r="X79" s="167">
        <v>0</v>
      </c>
      <c r="Y79" s="167">
        <v>0</v>
      </c>
      <c r="Z79"/>
      <c r="AA79"/>
      <c r="AB79"/>
      <c r="AC79"/>
      <c r="AD79"/>
      <c r="AE79"/>
      <c r="AF79"/>
      <c r="AG79"/>
    </row>
    <row r="80" spans="1:33" ht="12.75" outlineLevel="1">
      <c r="A80" s="168" t="s">
        <v>34</v>
      </c>
      <c r="B80" s="581">
        <f>NPV(0.1,D80:Y80)</f>
        <v>84184.111126204269</v>
      </c>
      <c r="C80" s="581">
        <f>B80-B70</f>
        <v>99.849940149346367</v>
      </c>
      <c r="D80" s="585">
        <v>706.61649664770516</v>
      </c>
      <c r="E80" s="586">
        <v>1669.5475595893013</v>
      </c>
      <c r="F80" s="586">
        <v>1772.3563066494917</v>
      </c>
      <c r="G80" s="586">
        <v>1870.791633628294</v>
      </c>
      <c r="H80" s="586">
        <v>7474.6171996040002</v>
      </c>
      <c r="I80" s="586">
        <v>12284.520124306375</v>
      </c>
      <c r="J80" s="586">
        <v>13204.391932601247</v>
      </c>
      <c r="K80" s="586">
        <v>13771.00188937305</v>
      </c>
      <c r="L80" s="586">
        <v>14388.154502313459</v>
      </c>
      <c r="M80" s="586">
        <v>15037.87175255255</v>
      </c>
      <c r="N80" s="586">
        <v>15725.840677613192</v>
      </c>
      <c r="O80" s="587">
        <v>15944.258953554276</v>
      </c>
      <c r="P80" s="167">
        <v>16818.032078334574</v>
      </c>
      <c r="Q80" s="167">
        <v>17752.951641131163</v>
      </c>
      <c r="R80" s="167">
        <v>18593.261585945067</v>
      </c>
      <c r="S80" s="167">
        <v>19641.365795786325</v>
      </c>
      <c r="T80" s="167">
        <v>20058.810181713034</v>
      </c>
      <c r="U80" s="167">
        <v>20266.148166081643</v>
      </c>
      <c r="V80" s="167">
        <v>20458.91413443358</v>
      </c>
      <c r="W80" s="167">
        <v>20546.877136592666</v>
      </c>
      <c r="X80" s="167">
        <v>0</v>
      </c>
      <c r="Y80" s="167">
        <v>0</v>
      </c>
      <c r="Z80"/>
      <c r="AA80"/>
      <c r="AB80"/>
      <c r="AC80"/>
      <c r="AD80"/>
      <c r="AE80"/>
      <c r="AF80"/>
      <c r="AG80"/>
    </row>
    <row r="81" spans="1:33" ht="12.75" outlineLevel="1">
      <c r="A81" s="168" t="s">
        <v>31</v>
      </c>
      <c r="B81" s="581">
        <f>NPV(0.1,D81:Y81)</f>
        <v>99221.342530961687</v>
      </c>
      <c r="C81" s="581">
        <f>B81-B71</f>
        <v>73.148652565287193</v>
      </c>
      <c r="D81" s="588">
        <v>3400.7772445954283</v>
      </c>
      <c r="E81" s="589">
        <v>6183.0402050979419</v>
      </c>
      <c r="F81" s="589">
        <v>5622.1201184258298</v>
      </c>
      <c r="G81" s="589">
        <v>5591.8999420296996</v>
      </c>
      <c r="H81" s="589">
        <v>15318.785172827742</v>
      </c>
      <c r="I81" s="589">
        <v>16997.449094403859</v>
      </c>
      <c r="J81" s="589">
        <v>13221.918052516761</v>
      </c>
      <c r="K81" s="589">
        <v>13114.209099730109</v>
      </c>
      <c r="L81" s="589">
        <v>12998.825911955413</v>
      </c>
      <c r="M81" s="589">
        <v>12870.843127300428</v>
      </c>
      <c r="N81" s="589">
        <v>12701.711633177374</v>
      </c>
      <c r="O81" s="590">
        <v>13112.616328755828</v>
      </c>
      <c r="P81" s="167">
        <v>12101.23964951712</v>
      </c>
      <c r="Q81" s="167">
        <v>11899.140108313624</v>
      </c>
      <c r="R81" s="167">
        <v>16907.089165916565</v>
      </c>
      <c r="S81" s="167">
        <v>23169.24599167741</v>
      </c>
      <c r="T81" s="167">
        <v>23116.896612393648</v>
      </c>
      <c r="U81" s="167">
        <v>23312.861376270324</v>
      </c>
      <c r="V81" s="167">
        <v>23510.578253608008</v>
      </c>
      <c r="W81" s="167">
        <v>23701.555875723512</v>
      </c>
      <c r="X81" s="167">
        <v>0</v>
      </c>
      <c r="Y81" s="167">
        <v>0</v>
      </c>
      <c r="Z81"/>
      <c r="AA81"/>
      <c r="AB81"/>
      <c r="AC81"/>
      <c r="AD81"/>
      <c r="AE81"/>
      <c r="AF81"/>
      <c r="AG81"/>
    </row>
    <row r="82" spans="1:33" ht="12.75" outlineLevel="1">
      <c r="A82" s="163"/>
      <c r="B82" s="163"/>
      <c r="C82" s="163"/>
      <c r="D82"/>
      <c r="E82"/>
      <c r="F82"/>
      <c r="G82"/>
      <c r="H82"/>
      <c r="I82"/>
      <c r="J82"/>
      <c r="K82"/>
      <c r="L82"/>
      <c r="M82"/>
      <c r="N82"/>
      <c r="O82"/>
      <c r="P82"/>
      <c r="Q82"/>
      <c r="R82"/>
      <c r="S82"/>
      <c r="T82"/>
      <c r="U82"/>
      <c r="V82"/>
      <c r="W82"/>
      <c r="X82"/>
      <c r="Y82"/>
      <c r="Z82"/>
      <c r="AA82"/>
      <c r="AB82"/>
      <c r="AC82"/>
      <c r="AD82"/>
      <c r="AE82"/>
      <c r="AF82"/>
      <c r="AG82"/>
    </row>
    <row r="83" spans="1:33" ht="12.75" outlineLevel="1">
      <c r="A83" s="169" t="s">
        <v>489</v>
      </c>
      <c r="B83" s="163"/>
      <c r="C83" s="163"/>
      <c r="D83"/>
      <c r="E83"/>
      <c r="F83"/>
      <c r="G83"/>
      <c r="H83"/>
      <c r="I83"/>
      <c r="J83"/>
      <c r="K83"/>
      <c r="L83"/>
      <c r="M83"/>
      <c r="N83"/>
      <c r="O83"/>
      <c r="P83"/>
      <c r="Q83"/>
      <c r="R83"/>
      <c r="S83"/>
      <c r="T83"/>
      <c r="U83"/>
      <c r="V83"/>
      <c r="W83"/>
      <c r="X83"/>
      <c r="Y83"/>
      <c r="Z83"/>
      <c r="AA83"/>
      <c r="AB83"/>
      <c r="AC83"/>
      <c r="AD83"/>
      <c r="AE83"/>
      <c r="AF83"/>
      <c r="AG83"/>
    </row>
    <row r="84" spans="1:33" ht="12.75" outlineLevel="1">
      <c r="A84" s="416">
        <v>36231</v>
      </c>
      <c r="B84" s="163"/>
      <c r="C84" s="163"/>
      <c r="D84"/>
      <c r="E84"/>
      <c r="F84"/>
      <c r="G84"/>
      <c r="H84"/>
      <c r="I84"/>
      <c r="J84"/>
      <c r="K84"/>
      <c r="L84"/>
      <c r="M84"/>
      <c r="N84"/>
      <c r="O84"/>
      <c r="P84"/>
      <c r="Q84"/>
      <c r="R84"/>
      <c r="S84"/>
      <c r="T84"/>
      <c r="U84"/>
      <c r="V84"/>
      <c r="W84"/>
      <c r="X84"/>
      <c r="Y84"/>
      <c r="Z84"/>
      <c r="AA84"/>
      <c r="AB84"/>
      <c r="AC84"/>
      <c r="AD84"/>
      <c r="AE84"/>
      <c r="AF84"/>
      <c r="AG84"/>
    </row>
    <row r="85" spans="1:33" ht="12.75" outlineLevel="1">
      <c r="A85" s="164" t="s">
        <v>427</v>
      </c>
      <c r="B85" s="172">
        <v>35773.273394976997</v>
      </c>
      <c r="C85" s="163" t="s">
        <v>534</v>
      </c>
      <c r="D85"/>
      <c r="E85"/>
      <c r="F85"/>
      <c r="G85"/>
      <c r="H85"/>
      <c r="I85"/>
      <c r="J85"/>
      <c r="K85"/>
      <c r="L85"/>
      <c r="M85"/>
      <c r="N85"/>
      <c r="O85"/>
      <c r="P85"/>
      <c r="Q85"/>
      <c r="R85"/>
      <c r="S85"/>
      <c r="T85"/>
      <c r="U85"/>
      <c r="V85"/>
      <c r="W85"/>
      <c r="X85"/>
      <c r="Y85"/>
      <c r="Z85"/>
      <c r="AA85"/>
      <c r="AB85"/>
      <c r="AC85"/>
      <c r="AD85"/>
      <c r="AE85"/>
      <c r="AF85"/>
      <c r="AG85"/>
    </row>
    <row r="86" spans="1:33" ht="12.75" outlineLevel="1">
      <c r="A86" s="165" t="s">
        <v>428</v>
      </c>
      <c r="B86" s="173">
        <v>71616.685635352842</v>
      </c>
      <c r="C86" s="163"/>
      <c r="D86"/>
      <c r="E86"/>
      <c r="F86"/>
      <c r="G86"/>
      <c r="H86"/>
      <c r="I86"/>
      <c r="J86"/>
      <c r="K86"/>
      <c r="L86"/>
      <c r="M86"/>
      <c r="N86"/>
      <c r="O86"/>
      <c r="P86"/>
      <c r="Q86"/>
      <c r="R86"/>
      <c r="S86"/>
      <c r="T86"/>
      <c r="U86"/>
      <c r="V86"/>
      <c r="W86"/>
      <c r="X86"/>
      <c r="Y86"/>
      <c r="Z86"/>
      <c r="AA86"/>
      <c r="AB86"/>
      <c r="AC86"/>
      <c r="AD86"/>
      <c r="AE86"/>
      <c r="AF86"/>
      <c r="AG86"/>
    </row>
    <row r="87" spans="1:33" ht="12.75" outlineLevel="1">
      <c r="A87" s="166" t="s">
        <v>429</v>
      </c>
      <c r="B87" s="580" t="s">
        <v>499</v>
      </c>
      <c r="C87" s="580" t="s">
        <v>500</v>
      </c>
      <c r="D87" s="582">
        <v>1999</v>
      </c>
      <c r="E87" s="583">
        <v>2000</v>
      </c>
      <c r="F87" s="583">
        <v>2001</v>
      </c>
      <c r="G87" s="583">
        <v>2002</v>
      </c>
      <c r="H87" s="583">
        <v>2003</v>
      </c>
      <c r="I87" s="583">
        <v>2004</v>
      </c>
      <c r="J87" s="583">
        <v>2005</v>
      </c>
      <c r="K87" s="583">
        <v>2006</v>
      </c>
      <c r="L87" s="583">
        <v>2007</v>
      </c>
      <c r="M87" s="583">
        <v>2008</v>
      </c>
      <c r="N87" s="583">
        <v>2009</v>
      </c>
      <c r="O87" s="584">
        <v>2010</v>
      </c>
      <c r="P87" s="171">
        <v>2011</v>
      </c>
      <c r="Q87" s="171">
        <v>2012</v>
      </c>
      <c r="R87" s="171">
        <v>2013</v>
      </c>
      <c r="S87" s="171">
        <v>2014</v>
      </c>
      <c r="T87" s="171">
        <v>2015</v>
      </c>
      <c r="U87" s="171">
        <v>2016</v>
      </c>
      <c r="V87" s="171">
        <v>2017</v>
      </c>
      <c r="W87" s="171">
        <v>2018</v>
      </c>
      <c r="X87" s="171">
        <v>2019</v>
      </c>
      <c r="Y87" s="171">
        <v>2020</v>
      </c>
      <c r="Z87"/>
      <c r="AA87"/>
      <c r="AB87"/>
      <c r="AC87"/>
      <c r="AD87"/>
      <c r="AE87"/>
      <c r="AF87"/>
      <c r="AG87"/>
    </row>
    <row r="88" spans="1:33" ht="12.75" outlineLevel="1">
      <c r="A88" s="166" t="s">
        <v>430</v>
      </c>
      <c r="B88" s="581">
        <f>NPV(0.1,D88:Y88)</f>
        <v>430162.92253933649</v>
      </c>
      <c r="C88" s="581">
        <f>B88-B78</f>
        <v>0</v>
      </c>
      <c r="D88" s="585">
        <v>26456.16517218751</v>
      </c>
      <c r="E88" s="586">
        <v>36622.816768205368</v>
      </c>
      <c r="F88" s="586">
        <v>36899.746726638754</v>
      </c>
      <c r="G88" s="586">
        <v>37130.460845427748</v>
      </c>
      <c r="H88" s="586">
        <v>46551.621850797776</v>
      </c>
      <c r="I88" s="586">
        <v>54368.336326315562</v>
      </c>
      <c r="J88" s="586">
        <v>55774.108175254165</v>
      </c>
      <c r="K88" s="586">
        <v>56836.434077905724</v>
      </c>
      <c r="L88" s="586">
        <v>58014.036281411987</v>
      </c>
      <c r="M88" s="586">
        <v>59306.280178476387</v>
      </c>
      <c r="N88" s="586">
        <v>60748.639046920085</v>
      </c>
      <c r="O88" s="587">
        <v>62343.69174515373</v>
      </c>
      <c r="P88" s="167">
        <v>64230.909919159676</v>
      </c>
      <c r="Q88" s="167">
        <v>66205.417394810589</v>
      </c>
      <c r="R88" s="167">
        <v>68260.193684227444</v>
      </c>
      <c r="S88" s="167">
        <v>70358.617934890586</v>
      </c>
      <c r="T88" s="167">
        <v>72482.439569493581</v>
      </c>
      <c r="U88" s="167">
        <v>74297.476797508541</v>
      </c>
      <c r="V88" s="167">
        <v>76073.923157972866</v>
      </c>
      <c r="W88" s="167">
        <v>77846.438412749994</v>
      </c>
      <c r="X88" s="167">
        <v>0</v>
      </c>
      <c r="Y88" s="167">
        <v>0</v>
      </c>
      <c r="Z88"/>
      <c r="AA88"/>
      <c r="AB88"/>
      <c r="AC88"/>
      <c r="AD88"/>
      <c r="AE88"/>
      <c r="AF88"/>
      <c r="AG88"/>
    </row>
    <row r="89" spans="1:33" ht="12.75" outlineLevel="1">
      <c r="A89" s="168" t="s">
        <v>431</v>
      </c>
      <c r="B89" s="581">
        <f>NPV(0.1,D89:Y89)</f>
        <v>204644.24988714571</v>
      </c>
      <c r="C89" s="581">
        <f>B89-B79</f>
        <v>0</v>
      </c>
      <c r="D89" s="585">
        <v>16718.002709040265</v>
      </c>
      <c r="E89" s="586">
        <v>20518.987971318656</v>
      </c>
      <c r="F89" s="586">
        <v>20852.769327685768</v>
      </c>
      <c r="G89" s="586">
        <v>21142.375910983079</v>
      </c>
      <c r="H89" s="586">
        <v>21504.179040257703</v>
      </c>
      <c r="I89" s="586">
        <v>21947.453844309115</v>
      </c>
      <c r="J89" s="586">
        <v>22472.279109543979</v>
      </c>
      <c r="K89" s="586">
        <v>23109.425952035763</v>
      </c>
      <c r="L89" s="586">
        <v>23867.71072081965</v>
      </c>
      <c r="M89" s="586">
        <v>24747.219507929425</v>
      </c>
      <c r="N89" s="586">
        <v>25778.730954234499</v>
      </c>
      <c r="O89" s="587">
        <v>27755.514485214691</v>
      </c>
      <c r="P89" s="167">
        <v>29048.850617310207</v>
      </c>
      <c r="Q89" s="167">
        <v>30414.586863531764</v>
      </c>
      <c r="R89" s="167">
        <v>31862.595183996633</v>
      </c>
      <c r="S89" s="167">
        <v>33356.840874035348</v>
      </c>
      <c r="T89" s="167">
        <v>34847.004365302608</v>
      </c>
      <c r="U89" s="167">
        <v>36340.995735935008</v>
      </c>
      <c r="V89" s="167">
        <v>37820.446515426171</v>
      </c>
      <c r="W89" s="167">
        <v>39419.66557306864</v>
      </c>
      <c r="X89" s="167">
        <v>0</v>
      </c>
      <c r="Y89" s="167">
        <v>0</v>
      </c>
      <c r="Z89"/>
      <c r="AA89"/>
      <c r="AB89"/>
      <c r="AC89"/>
      <c r="AD89"/>
      <c r="AE89"/>
      <c r="AF89"/>
      <c r="AG89"/>
    </row>
    <row r="90" spans="1:33" ht="12.75" outlineLevel="1">
      <c r="A90" s="168" t="s">
        <v>34</v>
      </c>
      <c r="B90" s="581">
        <f>NPV(0.1,D90:Y90)</f>
        <v>84184.111126204269</v>
      </c>
      <c r="C90" s="581">
        <f>B90-B80</f>
        <v>0</v>
      </c>
      <c r="D90" s="585">
        <v>706.61649664770516</v>
      </c>
      <c r="E90" s="586">
        <v>1669.5475595893013</v>
      </c>
      <c r="F90" s="586">
        <v>1772.3563066494917</v>
      </c>
      <c r="G90" s="586">
        <v>1870.791633628294</v>
      </c>
      <c r="H90" s="586">
        <v>7474.6171996040002</v>
      </c>
      <c r="I90" s="586">
        <v>12284.520124306375</v>
      </c>
      <c r="J90" s="586">
        <v>13204.391932601247</v>
      </c>
      <c r="K90" s="586">
        <v>13771.00188937305</v>
      </c>
      <c r="L90" s="586">
        <v>14388.154502313459</v>
      </c>
      <c r="M90" s="586">
        <v>15037.87175255255</v>
      </c>
      <c r="N90" s="586">
        <v>15725.840677613192</v>
      </c>
      <c r="O90" s="587">
        <v>15944.258953554276</v>
      </c>
      <c r="P90" s="167">
        <v>16818.032078334574</v>
      </c>
      <c r="Q90" s="167">
        <v>17752.951641131163</v>
      </c>
      <c r="R90" s="167">
        <v>18593.261585945067</v>
      </c>
      <c r="S90" s="167">
        <v>19641.365795786325</v>
      </c>
      <c r="T90" s="167">
        <v>20058.810181713034</v>
      </c>
      <c r="U90" s="167">
        <v>20266.148166081643</v>
      </c>
      <c r="V90" s="167">
        <v>20458.91413443358</v>
      </c>
      <c r="W90" s="167">
        <v>20546.877136592666</v>
      </c>
      <c r="X90" s="167">
        <v>0</v>
      </c>
      <c r="Y90" s="167">
        <v>0</v>
      </c>
      <c r="Z90"/>
      <c r="AA90"/>
      <c r="AB90"/>
      <c r="AC90"/>
      <c r="AD90"/>
      <c r="AE90"/>
      <c r="AF90"/>
      <c r="AG90"/>
    </row>
    <row r="91" spans="1:33" ht="12.75" outlineLevel="1">
      <c r="A91" s="168" t="s">
        <v>31</v>
      </c>
      <c r="B91" s="581">
        <f>NPV(0.1,D91:Y91)</f>
        <v>98204.956982849908</v>
      </c>
      <c r="C91" s="581">
        <f>B91-B81</f>
        <v>-1016.3855481117789</v>
      </c>
      <c r="D91" s="588">
        <v>3002.8272445954285</v>
      </c>
      <c r="E91" s="589">
        <v>5803.0463013642502</v>
      </c>
      <c r="F91" s="589">
        <v>5259.3560803390137</v>
      </c>
      <c r="G91" s="589">
        <v>5245.192549042582</v>
      </c>
      <c r="H91" s="589">
        <v>14988.327001826632</v>
      </c>
      <c r="I91" s="589">
        <v>18132.018344874035</v>
      </c>
      <c r="J91" s="589">
        <v>13132.918051750174</v>
      </c>
      <c r="K91" s="589">
        <v>13030.107215467757</v>
      </c>
      <c r="L91" s="589">
        <v>12919.642425722985</v>
      </c>
      <c r="M91" s="589">
        <v>12796.59380949214</v>
      </c>
      <c r="N91" s="589">
        <v>12632.421196502346</v>
      </c>
      <c r="O91" s="590">
        <v>13048.296344603536</v>
      </c>
      <c r="P91" s="167">
        <v>12042.537591912918</v>
      </c>
      <c r="Q91" s="167">
        <v>11845.404281331874</v>
      </c>
      <c r="R91" s="167">
        <v>16858.331359467207</v>
      </c>
      <c r="S91" s="167">
        <v>23129.760166462198</v>
      </c>
      <c r="T91" s="167">
        <v>23080.115535733457</v>
      </c>
      <c r="U91" s="167">
        <v>23278.418691470746</v>
      </c>
      <c r="V91" s="167">
        <v>23478.470589155972</v>
      </c>
      <c r="W91" s="167">
        <v>23671.79280922802</v>
      </c>
      <c r="X91" s="167">
        <v>0</v>
      </c>
      <c r="Y91" s="167">
        <v>0</v>
      </c>
      <c r="Z91"/>
      <c r="AA91"/>
      <c r="AB91"/>
      <c r="AC91"/>
      <c r="AD91"/>
      <c r="AE91"/>
      <c r="AF91"/>
      <c r="AG91"/>
    </row>
    <row r="92" spans="1:33" ht="12.75" outlineLevel="1">
      <c r="A92" s="163"/>
      <c r="B92" s="163"/>
      <c r="C92" s="163"/>
      <c r="D92"/>
      <c r="E92"/>
      <c r="F92"/>
      <c r="G92"/>
      <c r="H92"/>
      <c r="I92"/>
      <c r="J92"/>
      <c r="K92"/>
      <c r="L92"/>
      <c r="M92"/>
      <c r="N92"/>
      <c r="O92"/>
      <c r="P92"/>
      <c r="Q92"/>
      <c r="R92"/>
      <c r="S92"/>
      <c r="T92"/>
      <c r="U92"/>
      <c r="V92"/>
      <c r="W92"/>
      <c r="X92"/>
      <c r="Y92"/>
      <c r="Z92"/>
      <c r="AA92"/>
      <c r="AB92"/>
      <c r="AC92"/>
      <c r="AD92"/>
      <c r="AE92"/>
      <c r="AF92"/>
      <c r="AG92"/>
    </row>
    <row r="93" spans="1:33" ht="12.75" outlineLevel="1">
      <c r="A93" s="169" t="s">
        <v>490</v>
      </c>
      <c r="B93" s="163"/>
      <c r="C93" s="163"/>
      <c r="D93"/>
      <c r="E93"/>
      <c r="F93"/>
      <c r="G93"/>
      <c r="H93"/>
      <c r="I93"/>
      <c r="J93"/>
      <c r="K93"/>
      <c r="L93"/>
      <c r="M93"/>
      <c r="N93"/>
      <c r="O93"/>
      <c r="P93"/>
      <c r="Q93"/>
      <c r="R93"/>
      <c r="S93"/>
      <c r="T93"/>
      <c r="U93"/>
      <c r="V93"/>
      <c r="W93"/>
      <c r="X93"/>
      <c r="Y93"/>
      <c r="Z93"/>
      <c r="AA93"/>
      <c r="AB93"/>
      <c r="AC93"/>
      <c r="AD93"/>
      <c r="AE93"/>
      <c r="AF93"/>
      <c r="AG93"/>
    </row>
    <row r="94" spans="1:33" ht="12.75" outlineLevel="1">
      <c r="A94" s="416">
        <v>36231</v>
      </c>
      <c r="B94" s="163"/>
      <c r="C94" s="163"/>
      <c r="D94"/>
      <c r="E94"/>
      <c r="F94"/>
      <c r="G94"/>
      <c r="H94"/>
      <c r="I94"/>
      <c r="J94"/>
      <c r="K94"/>
      <c r="L94"/>
      <c r="M94"/>
      <c r="N94"/>
      <c r="O94"/>
      <c r="P94"/>
      <c r="Q94"/>
      <c r="R94"/>
      <c r="S94"/>
      <c r="T94"/>
      <c r="U94"/>
      <c r="V94"/>
      <c r="W94"/>
      <c r="X94"/>
      <c r="Y94"/>
      <c r="Z94"/>
      <c r="AA94"/>
      <c r="AB94"/>
      <c r="AC94"/>
      <c r="AD94"/>
      <c r="AE94"/>
      <c r="AF94"/>
      <c r="AG94"/>
    </row>
    <row r="95" spans="1:33" ht="12.75" outlineLevel="1">
      <c r="A95" s="164" t="s">
        <v>427</v>
      </c>
      <c r="B95" s="172">
        <v>35318.252411897804</v>
      </c>
      <c r="C95" s="163" t="s">
        <v>534</v>
      </c>
      <c r="D95"/>
      <c r="E95"/>
      <c r="F95"/>
      <c r="G95"/>
      <c r="H95"/>
      <c r="I95"/>
      <c r="J95"/>
      <c r="K95"/>
      <c r="L95"/>
      <c r="M95"/>
      <c r="N95"/>
      <c r="O95"/>
      <c r="P95"/>
      <c r="Q95"/>
      <c r="R95"/>
      <c r="S95"/>
      <c r="T95"/>
      <c r="U95"/>
      <c r="V95"/>
      <c r="W95"/>
      <c r="X95"/>
      <c r="Y95"/>
      <c r="Z95"/>
      <c r="AA95"/>
      <c r="AB95"/>
      <c r="AC95"/>
      <c r="AD95"/>
      <c r="AE95"/>
      <c r="AF95"/>
      <c r="AG95"/>
    </row>
    <row r="96" spans="1:33" ht="12.75" outlineLevel="1">
      <c r="A96" s="165" t="s">
        <v>428</v>
      </c>
      <c r="B96" s="173">
        <v>71616.685635352842</v>
      </c>
      <c r="C96" s="163"/>
      <c r="D96"/>
      <c r="E96"/>
      <c r="F96"/>
      <c r="G96"/>
      <c r="H96"/>
      <c r="I96"/>
      <c r="J96"/>
      <c r="K96"/>
      <c r="L96"/>
      <c r="M96"/>
      <c r="N96"/>
      <c r="O96"/>
      <c r="P96"/>
      <c r="Q96"/>
      <c r="R96"/>
      <c r="S96"/>
      <c r="T96"/>
      <c r="U96"/>
      <c r="V96"/>
      <c r="W96"/>
      <c r="X96"/>
      <c r="Y96"/>
      <c r="Z96"/>
      <c r="AA96"/>
      <c r="AB96"/>
      <c r="AC96"/>
      <c r="AD96"/>
      <c r="AE96"/>
      <c r="AF96"/>
      <c r="AG96"/>
    </row>
    <row r="97" spans="1:33" ht="12.75">
      <c r="A97" s="166" t="s">
        <v>429</v>
      </c>
      <c r="B97" s="580" t="s">
        <v>499</v>
      </c>
      <c r="C97" s="580" t="s">
        <v>500</v>
      </c>
      <c r="D97" s="582">
        <v>1999</v>
      </c>
      <c r="E97" s="583">
        <v>2000</v>
      </c>
      <c r="F97" s="583">
        <v>2001</v>
      </c>
      <c r="G97" s="583">
        <v>2002</v>
      </c>
      <c r="H97" s="583">
        <v>2003</v>
      </c>
      <c r="I97" s="583">
        <v>2004</v>
      </c>
      <c r="J97" s="583">
        <v>2005</v>
      </c>
      <c r="K97" s="583">
        <v>2006</v>
      </c>
      <c r="L97" s="583">
        <v>2007</v>
      </c>
      <c r="M97" s="583">
        <v>2008</v>
      </c>
      <c r="N97" s="583">
        <v>2009</v>
      </c>
      <c r="O97" s="584">
        <v>2010</v>
      </c>
      <c r="P97" s="171">
        <v>2011</v>
      </c>
      <c r="Q97" s="171">
        <v>2012</v>
      </c>
      <c r="R97" s="171">
        <v>2013</v>
      </c>
      <c r="S97" s="171">
        <v>2014</v>
      </c>
      <c r="T97" s="171">
        <v>2015</v>
      </c>
      <c r="U97" s="171">
        <v>2016</v>
      </c>
      <c r="V97" s="171">
        <v>2017</v>
      </c>
      <c r="W97" s="171">
        <v>2018</v>
      </c>
      <c r="X97" s="171">
        <v>2019</v>
      </c>
      <c r="Y97" s="171">
        <v>2020</v>
      </c>
      <c r="Z97"/>
      <c r="AA97"/>
      <c r="AB97"/>
      <c r="AC97"/>
      <c r="AD97"/>
      <c r="AE97"/>
      <c r="AF97"/>
      <c r="AG97"/>
    </row>
    <row r="98" spans="1:33" ht="12.75">
      <c r="A98" s="166" t="s">
        <v>430</v>
      </c>
      <c r="B98" s="581">
        <f>NPV(0.1,D98:Y98)</f>
        <v>430162.92253933649</v>
      </c>
      <c r="C98" s="581">
        <f>B98-B88</f>
        <v>0</v>
      </c>
      <c r="D98" s="585">
        <v>26456.16517218751</v>
      </c>
      <c r="E98" s="586">
        <v>36622.816768205368</v>
      </c>
      <c r="F98" s="586">
        <v>36899.746726638754</v>
      </c>
      <c r="G98" s="586">
        <v>37130.460845427748</v>
      </c>
      <c r="H98" s="586">
        <v>46551.621850797776</v>
      </c>
      <c r="I98" s="586">
        <v>54368.336326315562</v>
      </c>
      <c r="J98" s="586">
        <v>55774.108175254165</v>
      </c>
      <c r="K98" s="586">
        <v>56836.434077905724</v>
      </c>
      <c r="L98" s="586">
        <v>58014.036281411987</v>
      </c>
      <c r="M98" s="586">
        <v>59306.280178476387</v>
      </c>
      <c r="N98" s="586">
        <v>60748.639046920085</v>
      </c>
      <c r="O98" s="587">
        <v>62343.69174515373</v>
      </c>
      <c r="P98" s="167">
        <v>64230.909919159676</v>
      </c>
      <c r="Q98" s="167">
        <v>66205.417394810589</v>
      </c>
      <c r="R98" s="167">
        <v>68260.193684227444</v>
      </c>
      <c r="S98" s="167">
        <v>70358.617934890586</v>
      </c>
      <c r="T98" s="167">
        <v>72482.439569493581</v>
      </c>
      <c r="U98" s="167">
        <v>74297.476797508541</v>
      </c>
      <c r="V98" s="167">
        <v>76073.923157972866</v>
      </c>
      <c r="W98" s="167">
        <v>77846.438412749994</v>
      </c>
      <c r="X98" s="167">
        <v>0</v>
      </c>
      <c r="Y98" s="167">
        <v>0</v>
      </c>
      <c r="Z98"/>
      <c r="AA98"/>
      <c r="AB98"/>
      <c r="AC98"/>
      <c r="AD98"/>
      <c r="AE98"/>
      <c r="AF98"/>
      <c r="AG98"/>
    </row>
    <row r="99" spans="1:33" ht="12.75">
      <c r="A99" s="168" t="s">
        <v>431</v>
      </c>
      <c r="B99" s="581">
        <f>NPV(0.1,D99:Y99)</f>
        <v>204644.24988714571</v>
      </c>
      <c r="C99" s="581">
        <f>B99-B89</f>
        <v>0</v>
      </c>
      <c r="D99" s="585">
        <v>16718.002709040265</v>
      </c>
      <c r="E99" s="586">
        <v>20518.987971318656</v>
      </c>
      <c r="F99" s="586">
        <v>20852.769327685768</v>
      </c>
      <c r="G99" s="586">
        <v>21142.375910983079</v>
      </c>
      <c r="H99" s="586">
        <v>21504.179040257703</v>
      </c>
      <c r="I99" s="586">
        <v>21947.453844309115</v>
      </c>
      <c r="J99" s="586">
        <v>22472.279109543979</v>
      </c>
      <c r="K99" s="586">
        <v>23109.425952035763</v>
      </c>
      <c r="L99" s="586">
        <v>23867.71072081965</v>
      </c>
      <c r="M99" s="586">
        <v>24747.219507929425</v>
      </c>
      <c r="N99" s="586">
        <v>25778.730954234499</v>
      </c>
      <c r="O99" s="587">
        <v>27755.514485214691</v>
      </c>
      <c r="P99" s="167">
        <v>29048.850617310207</v>
      </c>
      <c r="Q99" s="167">
        <v>30414.586863531764</v>
      </c>
      <c r="R99" s="167">
        <v>31862.595183996633</v>
      </c>
      <c r="S99" s="167">
        <v>33356.840874035348</v>
      </c>
      <c r="T99" s="167">
        <v>34847.004365302608</v>
      </c>
      <c r="U99" s="167">
        <v>36340.995735935008</v>
      </c>
      <c r="V99" s="167">
        <v>37820.446515426171</v>
      </c>
      <c r="W99" s="167">
        <v>39419.66557306864</v>
      </c>
      <c r="X99" s="167">
        <v>0</v>
      </c>
      <c r="Y99" s="167">
        <v>0</v>
      </c>
      <c r="Z99"/>
      <c r="AA99"/>
      <c r="AB99"/>
      <c r="AC99"/>
      <c r="AD99"/>
      <c r="AE99"/>
      <c r="AF99"/>
      <c r="AG99"/>
    </row>
    <row r="100" spans="1:33" ht="12.75">
      <c r="A100" s="168" t="s">
        <v>34</v>
      </c>
      <c r="B100" s="581">
        <f>NPV(0.1,D100:Y100)</f>
        <v>84184.111126204269</v>
      </c>
      <c r="C100" s="581">
        <f>B100-B90</f>
        <v>0</v>
      </c>
      <c r="D100" s="585">
        <v>706.61649664770516</v>
      </c>
      <c r="E100" s="586">
        <v>1669.5475595893013</v>
      </c>
      <c r="F100" s="586">
        <v>1772.3563066494917</v>
      </c>
      <c r="G100" s="586">
        <v>1870.791633628294</v>
      </c>
      <c r="H100" s="586">
        <v>7474.6171996040002</v>
      </c>
      <c r="I100" s="586">
        <v>12284.520124306375</v>
      </c>
      <c r="J100" s="586">
        <v>13204.391932601247</v>
      </c>
      <c r="K100" s="586">
        <v>13771.00188937305</v>
      </c>
      <c r="L100" s="586">
        <v>14388.154502313459</v>
      </c>
      <c r="M100" s="586">
        <v>15037.87175255255</v>
      </c>
      <c r="N100" s="586">
        <v>15725.840677613192</v>
      </c>
      <c r="O100" s="587">
        <v>15944.258953554276</v>
      </c>
      <c r="P100" s="167">
        <v>16818.032078334574</v>
      </c>
      <c r="Q100" s="167">
        <v>17752.951641131163</v>
      </c>
      <c r="R100" s="167">
        <v>18593.261585945067</v>
      </c>
      <c r="S100" s="167">
        <v>19641.365795786325</v>
      </c>
      <c r="T100" s="167">
        <v>20058.810181713034</v>
      </c>
      <c r="U100" s="167">
        <v>20266.148166081643</v>
      </c>
      <c r="V100" s="167">
        <v>20458.91413443358</v>
      </c>
      <c r="W100" s="167">
        <v>20546.877136592666</v>
      </c>
      <c r="X100" s="167">
        <v>0</v>
      </c>
      <c r="Y100" s="167">
        <v>0</v>
      </c>
      <c r="Z100"/>
      <c r="AA100"/>
      <c r="AB100"/>
      <c r="AC100"/>
      <c r="AD100"/>
      <c r="AE100"/>
      <c r="AF100"/>
      <c r="AG100"/>
    </row>
    <row r="101" spans="1:33" ht="12.75">
      <c r="A101" s="168" t="s">
        <v>31</v>
      </c>
      <c r="B101" s="581">
        <f>NPV(0.1,D101:Y101)</f>
        <v>97764.784901819512</v>
      </c>
      <c r="C101" s="581">
        <f>B101-B91</f>
        <v>-440.17208103039593</v>
      </c>
      <c r="D101" s="588">
        <v>3002.8272445954285</v>
      </c>
      <c r="E101" s="589">
        <v>5803.0463013642502</v>
      </c>
      <c r="F101" s="589">
        <v>5259.3560803390137</v>
      </c>
      <c r="G101" s="589">
        <v>5245.192549042582</v>
      </c>
      <c r="H101" s="589">
        <v>14988.327001826632</v>
      </c>
      <c r="I101" s="589">
        <v>16893.322009785825</v>
      </c>
      <c r="J101" s="589">
        <v>13129.921954989679</v>
      </c>
      <c r="K101" s="589">
        <v>13027.103871898224</v>
      </c>
      <c r="L101" s="589">
        <v>12916.631817816193</v>
      </c>
      <c r="M101" s="589">
        <v>12793.575919677474</v>
      </c>
      <c r="N101" s="589">
        <v>12629.396007166688</v>
      </c>
      <c r="O101" s="590">
        <v>13045.263838091174</v>
      </c>
      <c r="P101" s="167">
        <v>12039.49775052543</v>
      </c>
      <c r="Q101" s="167">
        <v>11842.35708732803</v>
      </c>
      <c r="R101" s="167">
        <v>16855.276795062862</v>
      </c>
      <c r="S101" s="167">
        <v>24365.394548918419</v>
      </c>
      <c r="T101" s="167">
        <v>23080.042273764026</v>
      </c>
      <c r="U101" s="167">
        <v>23278.345252298932</v>
      </c>
      <c r="V101" s="167">
        <v>23478.396972353155</v>
      </c>
      <c r="W101" s="167">
        <v>23671.719014364564</v>
      </c>
      <c r="X101" s="167">
        <v>0</v>
      </c>
      <c r="Y101" s="167">
        <v>0</v>
      </c>
      <c r="Z101"/>
      <c r="AA101"/>
      <c r="AB101"/>
      <c r="AC101"/>
      <c r="AD101"/>
      <c r="AE101"/>
      <c r="AF101"/>
      <c r="AG101"/>
    </row>
    <row r="102" spans="1:33" ht="12.75">
      <c r="A102" s="163"/>
      <c r="B102" s="163"/>
      <c r="C102" s="163"/>
      <c r="D102"/>
      <c r="E102"/>
      <c r="F102"/>
      <c r="G102"/>
      <c r="H102"/>
      <c r="I102"/>
      <c r="J102"/>
      <c r="K102"/>
      <c r="L102"/>
      <c r="M102"/>
      <c r="N102"/>
      <c r="O102"/>
      <c r="P102"/>
      <c r="Q102"/>
      <c r="R102"/>
      <c r="S102"/>
      <c r="T102"/>
      <c r="U102"/>
      <c r="V102"/>
      <c r="W102"/>
      <c r="X102"/>
      <c r="Y102"/>
      <c r="Z102"/>
      <c r="AA102"/>
      <c r="AB102"/>
      <c r="AC102"/>
      <c r="AD102"/>
      <c r="AE102"/>
      <c r="AF102"/>
      <c r="AG102"/>
    </row>
    <row r="103" spans="1:33" ht="12.75">
      <c r="A103" s="169" t="s">
        <v>491</v>
      </c>
      <c r="B103" s="163"/>
      <c r="C103" s="163"/>
      <c r="D103"/>
      <c r="E103"/>
      <c r="F103"/>
      <c r="G103"/>
      <c r="H103"/>
      <c r="I103"/>
      <c r="J103"/>
      <c r="K103"/>
      <c r="L103"/>
      <c r="M103"/>
      <c r="N103"/>
      <c r="O103"/>
      <c r="P103"/>
      <c r="Q103"/>
      <c r="R103"/>
      <c r="S103"/>
      <c r="T103"/>
      <c r="U103"/>
      <c r="V103"/>
      <c r="W103"/>
      <c r="X103"/>
      <c r="Y103"/>
      <c r="Z103"/>
      <c r="AA103"/>
      <c r="AB103"/>
      <c r="AC103"/>
      <c r="AD103"/>
      <c r="AE103"/>
      <c r="AF103"/>
      <c r="AG103"/>
    </row>
    <row r="104" spans="1:33" ht="12.75">
      <c r="A104" s="416">
        <v>36234</v>
      </c>
      <c r="B104" s="163"/>
      <c r="C104" s="163"/>
      <c r="D104"/>
      <c r="E104"/>
      <c r="F104"/>
      <c r="G104"/>
      <c r="H104"/>
      <c r="I104"/>
      <c r="J104"/>
      <c r="K104"/>
      <c r="L104"/>
      <c r="M104"/>
      <c r="N104"/>
      <c r="O104"/>
      <c r="P104"/>
      <c r="Q104"/>
      <c r="R104"/>
      <c r="S104"/>
      <c r="T104"/>
      <c r="U104"/>
      <c r="V104"/>
      <c r="W104"/>
      <c r="X104"/>
      <c r="Y104"/>
      <c r="Z104"/>
      <c r="AA104"/>
      <c r="AB104"/>
      <c r="AC104"/>
      <c r="AD104"/>
      <c r="AE104"/>
      <c r="AF104"/>
      <c r="AG104"/>
    </row>
    <row r="105" spans="1:33" ht="12.75">
      <c r="A105" s="164" t="s">
        <v>427</v>
      </c>
      <c r="B105" s="172">
        <v>35969.173704678658</v>
      </c>
      <c r="C105" s="163" t="s">
        <v>534</v>
      </c>
      <c r="D105"/>
      <c r="E105"/>
      <c r="F105"/>
      <c r="G105"/>
      <c r="H105"/>
      <c r="I105"/>
      <c r="J105"/>
      <c r="K105"/>
      <c r="L105"/>
      <c r="M105"/>
      <c r="N105"/>
      <c r="O105"/>
      <c r="P105"/>
      <c r="Q105"/>
      <c r="R105"/>
      <c r="S105"/>
      <c r="T105"/>
      <c r="U105"/>
      <c r="V105"/>
      <c r="W105"/>
      <c r="X105"/>
      <c r="Y105"/>
      <c r="Z105"/>
      <c r="AA105"/>
      <c r="AB105"/>
      <c r="AC105"/>
      <c r="AD105"/>
      <c r="AE105"/>
      <c r="AF105"/>
      <c r="AG105"/>
    </row>
    <row r="106" spans="1:33" ht="12.75">
      <c r="A106" s="165" t="s">
        <v>428</v>
      </c>
      <c r="B106" s="173">
        <v>71616.685635352842</v>
      </c>
      <c r="C106" s="163"/>
      <c r="D106"/>
      <c r="E106"/>
      <c r="F106"/>
      <c r="G106"/>
      <c r="H106"/>
      <c r="I106"/>
      <c r="J106"/>
      <c r="K106"/>
      <c r="L106"/>
      <c r="M106"/>
      <c r="N106"/>
      <c r="O106"/>
      <c r="P106"/>
      <c r="Q106"/>
      <c r="R106"/>
      <c r="S106"/>
      <c r="T106"/>
      <c r="U106"/>
      <c r="V106"/>
      <c r="W106"/>
      <c r="X106"/>
      <c r="Y106"/>
      <c r="Z106"/>
      <c r="AA106"/>
      <c r="AB106"/>
      <c r="AC106"/>
      <c r="AD106"/>
      <c r="AE106"/>
      <c r="AF106"/>
      <c r="AG106"/>
    </row>
    <row r="107" spans="1:33" ht="12.75">
      <c r="A107" s="166" t="s">
        <v>429</v>
      </c>
      <c r="B107" s="580" t="s">
        <v>499</v>
      </c>
      <c r="C107" s="580" t="s">
        <v>500</v>
      </c>
      <c r="D107" s="582">
        <v>1999</v>
      </c>
      <c r="E107" s="583">
        <v>2000</v>
      </c>
      <c r="F107" s="583">
        <v>2001</v>
      </c>
      <c r="G107" s="583">
        <v>2002</v>
      </c>
      <c r="H107" s="583">
        <v>2003</v>
      </c>
      <c r="I107" s="583">
        <v>2004</v>
      </c>
      <c r="J107" s="583">
        <v>2005</v>
      </c>
      <c r="K107" s="583">
        <v>2006</v>
      </c>
      <c r="L107" s="583">
        <v>2007</v>
      </c>
      <c r="M107" s="583">
        <v>2008</v>
      </c>
      <c r="N107" s="583">
        <v>2009</v>
      </c>
      <c r="O107" s="584">
        <v>2010</v>
      </c>
      <c r="P107" s="171">
        <v>2011</v>
      </c>
      <c r="Q107" s="171">
        <v>2012</v>
      </c>
      <c r="R107" s="171">
        <v>2013</v>
      </c>
      <c r="S107" s="171">
        <v>2014</v>
      </c>
      <c r="T107" s="171">
        <v>2015</v>
      </c>
      <c r="U107" s="171">
        <v>2016</v>
      </c>
      <c r="V107" s="171">
        <v>2017</v>
      </c>
      <c r="W107" s="171">
        <v>2018</v>
      </c>
      <c r="X107" s="171">
        <v>2019</v>
      </c>
      <c r="Y107" s="171">
        <v>2020</v>
      </c>
      <c r="Z107"/>
      <c r="AA107"/>
      <c r="AB107"/>
      <c r="AC107"/>
      <c r="AD107"/>
      <c r="AE107"/>
      <c r="AF107"/>
      <c r="AG107"/>
    </row>
    <row r="108" spans="1:33" ht="12.75">
      <c r="A108" s="166" t="s">
        <v>430</v>
      </c>
      <c r="B108" s="581">
        <f>NPV(0.1,D108:Y108)</f>
        <v>430162.92253933649</v>
      </c>
      <c r="C108" s="581">
        <f>B108-B98</f>
        <v>0</v>
      </c>
      <c r="D108" s="585">
        <v>26456.16517218751</v>
      </c>
      <c r="E108" s="586">
        <v>36622.816768205368</v>
      </c>
      <c r="F108" s="586">
        <v>36899.746726638754</v>
      </c>
      <c r="G108" s="586">
        <v>37130.460845427748</v>
      </c>
      <c r="H108" s="586">
        <v>46551.621850797776</v>
      </c>
      <c r="I108" s="586">
        <v>54368.336326315562</v>
      </c>
      <c r="J108" s="586">
        <v>55774.108175254165</v>
      </c>
      <c r="K108" s="586">
        <v>56836.434077905724</v>
      </c>
      <c r="L108" s="586">
        <v>58014.036281411987</v>
      </c>
      <c r="M108" s="586">
        <v>59306.280178476387</v>
      </c>
      <c r="N108" s="586">
        <v>60748.639046920085</v>
      </c>
      <c r="O108" s="587">
        <v>62343.69174515373</v>
      </c>
      <c r="P108" s="167">
        <v>64230.909919159676</v>
      </c>
      <c r="Q108" s="167">
        <v>66205.417394810589</v>
      </c>
      <c r="R108" s="167">
        <v>68260.193684227444</v>
      </c>
      <c r="S108" s="167">
        <v>70358.617934890586</v>
      </c>
      <c r="T108" s="167">
        <v>72482.439569493581</v>
      </c>
      <c r="U108" s="167">
        <v>74297.476797508541</v>
      </c>
      <c r="V108" s="167">
        <v>76073.923157972866</v>
      </c>
      <c r="W108" s="167">
        <v>77846.438412749994</v>
      </c>
      <c r="X108" s="167">
        <v>0</v>
      </c>
      <c r="Y108" s="167">
        <v>0</v>
      </c>
      <c r="Z108"/>
      <c r="AA108"/>
      <c r="AB108"/>
      <c r="AC108"/>
      <c r="AD108"/>
      <c r="AE108"/>
      <c r="AF108"/>
      <c r="AG108"/>
    </row>
    <row r="109" spans="1:33" ht="12.75">
      <c r="A109" s="168" t="s">
        <v>431</v>
      </c>
      <c r="B109" s="581">
        <f>NPV(0.1,D109:Y109)</f>
        <v>204644.24988714571</v>
      </c>
      <c r="C109" s="581">
        <f>B109-B99</f>
        <v>0</v>
      </c>
      <c r="D109" s="585">
        <v>16718.002709040265</v>
      </c>
      <c r="E109" s="586">
        <v>20518.987971318656</v>
      </c>
      <c r="F109" s="586">
        <v>20852.769327685768</v>
      </c>
      <c r="G109" s="586">
        <v>21142.375910983079</v>
      </c>
      <c r="H109" s="586">
        <v>21504.179040257703</v>
      </c>
      <c r="I109" s="586">
        <v>21947.453844309115</v>
      </c>
      <c r="J109" s="586">
        <v>22472.279109543979</v>
      </c>
      <c r="K109" s="586">
        <v>23109.425952035763</v>
      </c>
      <c r="L109" s="586">
        <v>23867.71072081965</v>
      </c>
      <c r="M109" s="586">
        <v>24747.219507929425</v>
      </c>
      <c r="N109" s="586">
        <v>25778.730954234499</v>
      </c>
      <c r="O109" s="587">
        <v>27755.514485214691</v>
      </c>
      <c r="P109" s="167">
        <v>29048.850617310207</v>
      </c>
      <c r="Q109" s="167">
        <v>30414.586863531764</v>
      </c>
      <c r="R109" s="167">
        <v>31862.595183996633</v>
      </c>
      <c r="S109" s="167">
        <v>33356.840874035348</v>
      </c>
      <c r="T109" s="167">
        <v>34847.004365302608</v>
      </c>
      <c r="U109" s="167">
        <v>36340.995735935008</v>
      </c>
      <c r="V109" s="167">
        <v>37820.446515426171</v>
      </c>
      <c r="W109" s="167">
        <v>39419.66557306864</v>
      </c>
      <c r="X109" s="167">
        <v>0</v>
      </c>
      <c r="Y109" s="167">
        <v>0</v>
      </c>
      <c r="Z109"/>
      <c r="AA109"/>
      <c r="AB109"/>
      <c r="AC109"/>
      <c r="AD109"/>
      <c r="AE109"/>
      <c r="AF109"/>
      <c r="AG109"/>
    </row>
    <row r="110" spans="1:33" ht="12.75">
      <c r="A110" s="168" t="s">
        <v>34</v>
      </c>
      <c r="B110" s="581">
        <f>NPV(0.1,D110:Y110)</f>
        <v>84184.111126204269</v>
      </c>
      <c r="C110" s="581">
        <f>B110-B100</f>
        <v>0</v>
      </c>
      <c r="D110" s="585">
        <v>706.61649664770516</v>
      </c>
      <c r="E110" s="586">
        <v>1669.5475595893013</v>
      </c>
      <c r="F110" s="586">
        <v>1772.3563066494917</v>
      </c>
      <c r="G110" s="586">
        <v>1870.791633628294</v>
      </c>
      <c r="H110" s="586">
        <v>7474.6171996040002</v>
      </c>
      <c r="I110" s="586">
        <v>12284.520124306375</v>
      </c>
      <c r="J110" s="586">
        <v>13204.391932601247</v>
      </c>
      <c r="K110" s="586">
        <v>13771.00188937305</v>
      </c>
      <c r="L110" s="586">
        <v>14388.154502313459</v>
      </c>
      <c r="M110" s="586">
        <v>15037.87175255255</v>
      </c>
      <c r="N110" s="586">
        <v>15725.840677613192</v>
      </c>
      <c r="O110" s="587">
        <v>15944.258953554276</v>
      </c>
      <c r="P110" s="167">
        <v>16818.032078334574</v>
      </c>
      <c r="Q110" s="167">
        <v>17752.951641131163</v>
      </c>
      <c r="R110" s="167">
        <v>18593.261585945067</v>
      </c>
      <c r="S110" s="167">
        <v>19641.365795786325</v>
      </c>
      <c r="T110" s="167">
        <v>20058.810181713034</v>
      </c>
      <c r="U110" s="167">
        <v>20266.148166081643</v>
      </c>
      <c r="V110" s="167">
        <v>20458.91413443358</v>
      </c>
      <c r="W110" s="167">
        <v>20546.877136592666</v>
      </c>
      <c r="X110" s="167">
        <v>0</v>
      </c>
      <c r="Y110" s="167">
        <v>0</v>
      </c>
      <c r="Z110"/>
      <c r="AA110"/>
      <c r="AB110"/>
      <c r="AC110"/>
      <c r="AD110"/>
      <c r="AE110"/>
      <c r="AF110"/>
      <c r="AG110"/>
    </row>
    <row r="111" spans="1:33" ht="12.75">
      <c r="A111" s="168" t="s">
        <v>31</v>
      </c>
      <c r="B111" s="581">
        <f>NPV(0.1,D111:Y111)</f>
        <v>98481.413166979459</v>
      </c>
      <c r="C111" s="581">
        <f>B111-B101</f>
        <v>716.62826515994675</v>
      </c>
      <c r="D111" s="588">
        <v>3002.8272445954285</v>
      </c>
      <c r="E111" s="589">
        <v>5803.0463013642502</v>
      </c>
      <c r="F111" s="589">
        <v>5259.3560803390137</v>
      </c>
      <c r="G111" s="589">
        <v>5245.192549042582</v>
      </c>
      <c r="H111" s="589">
        <v>14988.327001826632</v>
      </c>
      <c r="I111" s="589">
        <v>17636.499354760617</v>
      </c>
      <c r="J111" s="589">
        <v>13229.039302098417</v>
      </c>
      <c r="K111" s="589">
        <v>13120.81792535239</v>
      </c>
      <c r="L111" s="589">
        <v>13004.920659220099</v>
      </c>
      <c r="M111" s="589">
        <v>12876.422606045911</v>
      </c>
      <c r="N111" s="589">
        <v>12706.773739953931</v>
      </c>
      <c r="O111" s="590">
        <v>13117.160308159215</v>
      </c>
      <c r="P111" s="167">
        <v>12105.19965544566</v>
      </c>
      <c r="Q111" s="167">
        <v>11902.583339222911</v>
      </c>
      <c r="R111" s="167">
        <v>16910.014846773855</v>
      </c>
      <c r="S111" s="167">
        <v>24409.911351816882</v>
      </c>
      <c r="T111" s="167">
        <v>23120.494274317974</v>
      </c>
      <c r="U111" s="167">
        <v>23316.216122548187</v>
      </c>
      <c r="V111" s="167">
        <v>23513.690633307921</v>
      </c>
      <c r="W111" s="167">
        <v>23704.425112425248</v>
      </c>
      <c r="X111" s="167">
        <v>0</v>
      </c>
      <c r="Y111" s="167">
        <v>0</v>
      </c>
      <c r="Z111"/>
      <c r="AA111"/>
      <c r="AB111"/>
      <c r="AC111"/>
      <c r="AD111"/>
      <c r="AE111"/>
      <c r="AF111"/>
      <c r="AG111"/>
    </row>
    <row r="112" spans="1:33" ht="12.75">
      <c r="A112" s="163"/>
      <c r="B112" s="163"/>
      <c r="C112" s="163"/>
      <c r="D112"/>
      <c r="E112"/>
      <c r="F112"/>
      <c r="G112"/>
      <c r="H112"/>
      <c r="I112"/>
      <c r="J112"/>
      <c r="K112"/>
      <c r="L112"/>
      <c r="M112"/>
      <c r="N112"/>
      <c r="O112"/>
      <c r="P112"/>
      <c r="Q112"/>
      <c r="R112"/>
      <c r="S112"/>
      <c r="T112"/>
      <c r="U112"/>
      <c r="V112"/>
      <c r="W112"/>
      <c r="X112"/>
      <c r="Y112"/>
      <c r="Z112"/>
      <c r="AA112"/>
      <c r="AB112"/>
      <c r="AC112"/>
      <c r="AD112"/>
      <c r="AE112"/>
      <c r="AF112"/>
      <c r="AG112"/>
    </row>
    <row r="113" spans="1:33" ht="12.75">
      <c r="A113" s="169" t="s">
        <v>496</v>
      </c>
      <c r="B113" s="163"/>
      <c r="C113" s="163"/>
      <c r="D113"/>
      <c r="E113"/>
      <c r="F113"/>
      <c r="G113"/>
      <c r="H113"/>
      <c r="I113"/>
      <c r="J113"/>
      <c r="K113"/>
      <c r="L113"/>
      <c r="M113"/>
      <c r="N113"/>
      <c r="O113"/>
      <c r="P113"/>
      <c r="Q113"/>
      <c r="R113"/>
      <c r="S113"/>
      <c r="T113"/>
      <c r="U113"/>
      <c r="V113"/>
      <c r="W113"/>
      <c r="X113"/>
      <c r="Y113"/>
      <c r="Z113"/>
      <c r="AA113"/>
      <c r="AB113"/>
      <c r="AC113"/>
      <c r="AD113"/>
      <c r="AE113"/>
      <c r="AF113"/>
      <c r="AG113"/>
    </row>
    <row r="114" spans="1:33" ht="10.5" customHeight="1">
      <c r="A114" s="416">
        <v>36234</v>
      </c>
      <c r="B114" s="163"/>
      <c r="C114" s="163"/>
      <c r="D114"/>
      <c r="E114"/>
      <c r="F114"/>
      <c r="G114"/>
      <c r="H114"/>
      <c r="I114"/>
      <c r="J114"/>
      <c r="K114"/>
      <c r="L114"/>
      <c r="M114"/>
      <c r="N114"/>
      <c r="O114"/>
      <c r="P114"/>
      <c r="Q114"/>
      <c r="R114"/>
      <c r="S114"/>
      <c r="T114"/>
      <c r="U114"/>
      <c r="V114"/>
      <c r="W114"/>
      <c r="X114"/>
      <c r="Y114"/>
      <c r="Z114"/>
      <c r="AA114"/>
      <c r="AB114"/>
      <c r="AC114"/>
      <c r="AD114"/>
      <c r="AE114"/>
      <c r="AF114"/>
      <c r="AG114"/>
    </row>
    <row r="115" spans="1:33" ht="10.5" customHeight="1">
      <c r="A115" s="164" t="s">
        <v>427</v>
      </c>
      <c r="B115" s="172">
        <v>35749.745096493105</v>
      </c>
      <c r="C115" s="163" t="s">
        <v>534</v>
      </c>
      <c r="D115"/>
      <c r="E115"/>
      <c r="F115"/>
      <c r="G115"/>
      <c r="H115"/>
      <c r="I115"/>
      <c r="J115"/>
      <c r="K115"/>
      <c r="L115"/>
      <c r="M115"/>
      <c r="N115"/>
      <c r="O115"/>
      <c r="P115"/>
      <c r="Q115"/>
      <c r="R115"/>
      <c r="S115"/>
      <c r="T115"/>
      <c r="U115"/>
      <c r="V115"/>
      <c r="W115"/>
      <c r="X115"/>
      <c r="Y115"/>
      <c r="Z115"/>
      <c r="AA115"/>
      <c r="AB115"/>
      <c r="AC115"/>
      <c r="AD115"/>
      <c r="AE115"/>
      <c r="AF115"/>
      <c r="AG115"/>
    </row>
    <row r="116" spans="1:33" ht="10.5" customHeight="1">
      <c r="A116" s="165" t="s">
        <v>428</v>
      </c>
      <c r="B116" s="173">
        <v>71320.913626462541</v>
      </c>
      <c r="C116" s="163"/>
      <c r="D116"/>
      <c r="E116"/>
      <c r="F116"/>
      <c r="G116"/>
      <c r="H116"/>
      <c r="I116"/>
      <c r="J116"/>
      <c r="K116"/>
      <c r="L116"/>
      <c r="M116"/>
      <c r="N116"/>
      <c r="O116"/>
      <c r="P116"/>
      <c r="Q116"/>
      <c r="R116"/>
      <c r="S116"/>
      <c r="T116"/>
      <c r="U116"/>
      <c r="V116"/>
      <c r="W116"/>
      <c r="X116"/>
      <c r="Y116"/>
      <c r="Z116"/>
      <c r="AA116"/>
      <c r="AB116"/>
      <c r="AC116"/>
      <c r="AD116"/>
      <c r="AE116"/>
      <c r="AF116"/>
      <c r="AG116"/>
    </row>
    <row r="117" spans="1:33" ht="12.75" outlineLevel="1">
      <c r="A117" s="166" t="s">
        <v>429</v>
      </c>
      <c r="B117" s="580" t="s">
        <v>499</v>
      </c>
      <c r="C117" s="580" t="s">
        <v>500</v>
      </c>
      <c r="D117" s="582">
        <v>1999</v>
      </c>
      <c r="E117" s="583">
        <v>2000</v>
      </c>
      <c r="F117" s="583">
        <v>2001</v>
      </c>
      <c r="G117" s="583">
        <v>2002</v>
      </c>
      <c r="H117" s="583">
        <v>2003</v>
      </c>
      <c r="I117" s="583">
        <v>2004</v>
      </c>
      <c r="J117" s="583">
        <v>2005</v>
      </c>
      <c r="K117" s="583">
        <v>2006</v>
      </c>
      <c r="L117" s="583">
        <v>2007</v>
      </c>
      <c r="M117" s="583">
        <v>2008</v>
      </c>
      <c r="N117" s="583">
        <v>2009</v>
      </c>
      <c r="O117" s="584">
        <v>2010</v>
      </c>
      <c r="P117" s="171">
        <v>2011</v>
      </c>
      <c r="Q117" s="171">
        <v>2012</v>
      </c>
      <c r="R117" s="171">
        <v>2013</v>
      </c>
      <c r="S117" s="171">
        <v>2014</v>
      </c>
      <c r="T117" s="171">
        <v>2015</v>
      </c>
      <c r="U117" s="171">
        <v>2016</v>
      </c>
      <c r="V117" s="171">
        <v>2017</v>
      </c>
      <c r="W117" s="171">
        <v>2018</v>
      </c>
      <c r="X117" s="171">
        <v>2019</v>
      </c>
      <c r="Y117" s="171">
        <v>2020</v>
      </c>
      <c r="Z117"/>
      <c r="AA117"/>
      <c r="AB117"/>
      <c r="AC117"/>
      <c r="AD117"/>
      <c r="AE117"/>
      <c r="AF117"/>
      <c r="AG117"/>
    </row>
    <row r="118" spans="1:33" ht="12.75" outlineLevel="1">
      <c r="A118" s="166" t="s">
        <v>430</v>
      </c>
      <c r="B118" s="581">
        <f>NPV(0.1,D118:Y118)</f>
        <v>430162.92253933649</v>
      </c>
      <c r="C118" s="581">
        <f>B118-B108</f>
        <v>0</v>
      </c>
      <c r="D118" s="585">
        <v>26456.16517218751</v>
      </c>
      <c r="E118" s="586">
        <v>36622.816768205368</v>
      </c>
      <c r="F118" s="586">
        <v>36899.746726638754</v>
      </c>
      <c r="G118" s="586">
        <v>37130.460845427748</v>
      </c>
      <c r="H118" s="586">
        <v>46551.621850797776</v>
      </c>
      <c r="I118" s="586">
        <v>54368.336326315562</v>
      </c>
      <c r="J118" s="586">
        <v>55774.108175254165</v>
      </c>
      <c r="K118" s="586">
        <v>56836.434077905724</v>
      </c>
      <c r="L118" s="586">
        <v>58014.036281411987</v>
      </c>
      <c r="M118" s="586">
        <v>59306.280178476387</v>
      </c>
      <c r="N118" s="586">
        <v>60748.639046920085</v>
      </c>
      <c r="O118" s="587">
        <v>62343.69174515373</v>
      </c>
      <c r="P118" s="167">
        <v>64230.909919159676</v>
      </c>
      <c r="Q118" s="167">
        <v>66205.417394810589</v>
      </c>
      <c r="R118" s="167">
        <v>68260.193684227444</v>
      </c>
      <c r="S118" s="167">
        <v>70358.617934890586</v>
      </c>
      <c r="T118" s="167">
        <v>72482.439569493581</v>
      </c>
      <c r="U118" s="167">
        <v>74297.476797508541</v>
      </c>
      <c r="V118" s="167">
        <v>76073.923157972866</v>
      </c>
      <c r="W118" s="167">
        <v>77846.438412749994</v>
      </c>
      <c r="X118" s="167">
        <v>0</v>
      </c>
      <c r="Y118" s="167">
        <v>0</v>
      </c>
      <c r="Z118"/>
      <c r="AA118"/>
      <c r="AB118"/>
      <c r="AC118"/>
      <c r="AD118"/>
      <c r="AE118"/>
      <c r="AF118"/>
      <c r="AG118"/>
    </row>
    <row r="119" spans="1:33" ht="12.75" outlineLevel="1">
      <c r="A119" s="168" t="s">
        <v>431</v>
      </c>
      <c r="B119" s="581">
        <f>NPV(0.1,D119:Y119)</f>
        <v>204946.40042512363</v>
      </c>
      <c r="C119" s="581">
        <f>B119-B109</f>
        <v>302.15053797792643</v>
      </c>
      <c r="D119" s="585">
        <v>16735.502709040298</v>
      </c>
      <c r="E119" s="586">
        <v>20549.887971318658</v>
      </c>
      <c r="F119" s="586">
        <v>20884.596327685769</v>
      </c>
      <c r="G119" s="586">
        <v>21175.157720983079</v>
      </c>
      <c r="H119" s="586">
        <v>21537.944304557703</v>
      </c>
      <c r="I119" s="586">
        <v>21982.232066538116</v>
      </c>
      <c r="J119" s="586">
        <v>22508.100678439849</v>
      </c>
      <c r="K119" s="586">
        <v>23146.322167998507</v>
      </c>
      <c r="L119" s="586">
        <v>23905.713823261278</v>
      </c>
      <c r="M119" s="586">
        <v>24786.362703444302</v>
      </c>
      <c r="N119" s="586">
        <v>25819.048445614822</v>
      </c>
      <c r="O119" s="587">
        <v>27797.041501336425</v>
      </c>
      <c r="P119" s="167">
        <v>29091.623443915592</v>
      </c>
      <c r="Q119" s="167">
        <v>30458.642874935311</v>
      </c>
      <c r="R119" s="167">
        <v>31907.972875742285</v>
      </c>
      <c r="S119" s="167">
        <v>33403.579896533374</v>
      </c>
      <c r="T119" s="167">
        <v>34895.145558475575</v>
      </c>
      <c r="U119" s="167">
        <v>36390.58116490316</v>
      </c>
      <c r="V119" s="167">
        <v>37871.519507263365</v>
      </c>
      <c r="W119" s="167">
        <v>39472.270754660953</v>
      </c>
      <c r="X119" s="167">
        <v>0</v>
      </c>
      <c r="Y119" s="167">
        <v>0</v>
      </c>
      <c r="Z119"/>
      <c r="AA119"/>
      <c r="AB119"/>
      <c r="AC119"/>
      <c r="AD119"/>
      <c r="AE119"/>
      <c r="AF119"/>
      <c r="AG119"/>
    </row>
    <row r="120" spans="1:33" ht="12.75" outlineLevel="1">
      <c r="A120" s="168" t="s">
        <v>34</v>
      </c>
      <c r="B120" s="581">
        <f>NPV(0.1,D120:Y120)</f>
        <v>84031.279585159355</v>
      </c>
      <c r="C120" s="581">
        <f>B120-B110</f>
        <v>-152.83154104491405</v>
      </c>
      <c r="D120" s="585">
        <v>699.76356997811013</v>
      </c>
      <c r="E120" s="586">
        <v>1657.0049340736007</v>
      </c>
      <c r="F120" s="586">
        <v>1758.7843059031993</v>
      </c>
      <c r="G120" s="586">
        <v>1856.1080959772896</v>
      </c>
      <c r="H120" s="586">
        <v>7458.9029625704079</v>
      </c>
      <c r="I120" s="586">
        <v>12267.946946122793</v>
      </c>
      <c r="J120" s="586">
        <v>13186.902357003049</v>
      </c>
      <c r="K120" s="586">
        <v>13752.534201365272</v>
      </c>
      <c r="L120" s="586">
        <v>14368.642397605487</v>
      </c>
      <c r="M120" s="586">
        <v>15017.243980851583</v>
      </c>
      <c r="N120" s="586">
        <v>15704.020657694293</v>
      </c>
      <c r="O120" s="587">
        <v>15921.164357858555</v>
      </c>
      <c r="P120" s="167">
        <v>16793.574384667387</v>
      </c>
      <c r="Q120" s="167">
        <v>17727.035648838322</v>
      </c>
      <c r="R120" s="167">
        <v>18566.071104985545</v>
      </c>
      <c r="S120" s="167">
        <v>19612.5044493938</v>
      </c>
      <c r="T120" s="167">
        <v>20029.082994928729</v>
      </c>
      <c r="U120" s="167">
        <v>20235.529163693813</v>
      </c>
      <c r="V120" s="167">
        <v>20427.376561974113</v>
      </c>
      <c r="W120" s="167">
        <v>20514.393436959414</v>
      </c>
      <c r="X120" s="167">
        <v>0</v>
      </c>
      <c r="Y120" s="167">
        <v>0</v>
      </c>
      <c r="Z120"/>
      <c r="AA120"/>
      <c r="AB120"/>
      <c r="AC120"/>
      <c r="AD120"/>
      <c r="AE120"/>
      <c r="AF120"/>
      <c r="AG120"/>
    </row>
    <row r="121" spans="1:33" ht="12.75" outlineLevel="1">
      <c r="A121" s="168" t="s">
        <v>31</v>
      </c>
      <c r="B121" s="581">
        <f>NPV(0.1,D121:Y121)</f>
        <v>98387.878285856117</v>
      </c>
      <c r="C121" s="581">
        <f>B121-B111</f>
        <v>-93.53488112334162</v>
      </c>
      <c r="D121" s="588">
        <v>2996.7235362620941</v>
      </c>
      <c r="E121" s="589">
        <v>5792.2979390385381</v>
      </c>
      <c r="F121" s="589">
        <v>5248.2793325608882</v>
      </c>
      <c r="G121" s="589">
        <v>5233.776503275436</v>
      </c>
      <c r="H121" s="589">
        <v>14967.556265613339</v>
      </c>
      <c r="I121" s="589">
        <v>17664.664589137359</v>
      </c>
      <c r="J121" s="589">
        <v>13217.93225644984</v>
      </c>
      <c r="K121" s="589">
        <v>13109.671991109844</v>
      </c>
      <c r="L121" s="589">
        <v>12993.757563852789</v>
      </c>
      <c r="M121" s="589">
        <v>12865.266560431617</v>
      </c>
      <c r="N121" s="589">
        <v>12695.651659408131</v>
      </c>
      <c r="O121" s="590">
        <v>13106.102051817201</v>
      </c>
      <c r="P121" s="167">
        <v>12094.238285486088</v>
      </c>
      <c r="Q121" s="167">
        <v>11891.755401540633</v>
      </c>
      <c r="R121" s="167">
        <v>16889.346886089676</v>
      </c>
      <c r="S121" s="167">
        <v>24381.050097226565</v>
      </c>
      <c r="T121" s="167">
        <v>23090.767179477603</v>
      </c>
      <c r="U121" s="167">
        <v>23285.597212246226</v>
      </c>
      <c r="V121" s="167">
        <v>23482.153153076477</v>
      </c>
      <c r="W121" s="167">
        <v>23671.941505162395</v>
      </c>
      <c r="X121" s="167">
        <v>0</v>
      </c>
      <c r="Y121" s="167">
        <v>0</v>
      </c>
      <c r="Z121"/>
      <c r="AA121"/>
      <c r="AB121"/>
      <c r="AC121"/>
      <c r="AD121"/>
      <c r="AE121"/>
      <c r="AF121"/>
      <c r="AG121"/>
    </row>
    <row r="122" spans="1:33" ht="12.75" outlineLevel="1">
      <c r="A122" s="163"/>
      <c r="B122" s="163"/>
      <c r="C122" s="163"/>
      <c r="D122"/>
      <c r="E122"/>
      <c r="F122"/>
      <c r="G122"/>
      <c r="H122"/>
      <c r="I122"/>
      <c r="J122"/>
      <c r="K122"/>
      <c r="L122"/>
      <c r="M122"/>
      <c r="N122"/>
      <c r="O122"/>
      <c r="P122"/>
      <c r="Q122"/>
      <c r="R122"/>
      <c r="S122"/>
      <c r="T122"/>
      <c r="U122"/>
      <c r="V122"/>
      <c r="W122"/>
      <c r="X122"/>
      <c r="Y122"/>
      <c r="Z122"/>
      <c r="AA122"/>
      <c r="AB122"/>
      <c r="AC122"/>
      <c r="AD122"/>
      <c r="AE122"/>
      <c r="AF122"/>
      <c r="AG122"/>
    </row>
    <row r="123" spans="1:33" ht="12.75" outlineLevel="1">
      <c r="A123" s="169" t="s">
        <v>497</v>
      </c>
      <c r="B123" s="163"/>
      <c r="C123" s="163"/>
      <c r="D123"/>
      <c r="E123"/>
      <c r="F123"/>
      <c r="G123"/>
      <c r="H123"/>
      <c r="I123"/>
      <c r="J123"/>
      <c r="K123"/>
      <c r="L123"/>
      <c r="M123"/>
      <c r="N123"/>
      <c r="O123"/>
      <c r="P123"/>
      <c r="Q123"/>
      <c r="R123"/>
      <c r="S123"/>
      <c r="T123"/>
      <c r="U123"/>
      <c r="V123"/>
      <c r="W123"/>
      <c r="X123"/>
      <c r="Y123"/>
      <c r="Z123"/>
      <c r="AA123"/>
      <c r="AB123"/>
      <c r="AC123"/>
      <c r="AD123"/>
      <c r="AE123"/>
      <c r="AF123"/>
      <c r="AG123"/>
    </row>
    <row r="124" spans="1:33" ht="12.75" outlineLevel="1">
      <c r="A124" s="416">
        <v>36235</v>
      </c>
      <c r="B124" s="163"/>
      <c r="C124" s="163"/>
      <c r="D124"/>
      <c r="E124"/>
      <c r="F124"/>
      <c r="G124"/>
      <c r="H124"/>
      <c r="I124"/>
      <c r="J124"/>
      <c r="K124"/>
      <c r="L124"/>
      <c r="M124"/>
      <c r="N124"/>
      <c r="O124"/>
      <c r="P124"/>
      <c r="Q124"/>
      <c r="R124"/>
      <c r="S124"/>
      <c r="T124"/>
      <c r="U124"/>
      <c r="V124"/>
      <c r="W124"/>
      <c r="X124"/>
      <c r="Y124"/>
      <c r="Z124"/>
      <c r="AA124"/>
      <c r="AB124"/>
      <c r="AC124"/>
      <c r="AD124"/>
      <c r="AE124"/>
      <c r="AF124"/>
      <c r="AG124"/>
    </row>
    <row r="125" spans="1:33" ht="12.75" outlineLevel="1">
      <c r="A125" s="164" t="s">
        <v>427</v>
      </c>
      <c r="B125" s="172">
        <v>35379.052084723211</v>
      </c>
      <c r="C125" s="163" t="s">
        <v>534</v>
      </c>
      <c r="D125"/>
      <c r="E125"/>
      <c r="F125"/>
      <c r="G125"/>
      <c r="H125"/>
      <c r="I125"/>
      <c r="J125"/>
      <c r="K125"/>
      <c r="L125"/>
      <c r="M125"/>
      <c r="N125"/>
      <c r="O125"/>
      <c r="P125"/>
      <c r="Q125"/>
      <c r="R125"/>
      <c r="S125"/>
      <c r="T125"/>
      <c r="U125"/>
      <c r="V125"/>
      <c r="W125"/>
      <c r="X125"/>
      <c r="Y125"/>
      <c r="Z125"/>
      <c r="AA125"/>
      <c r="AB125"/>
      <c r="AC125"/>
      <c r="AD125"/>
      <c r="AE125"/>
      <c r="AF125"/>
      <c r="AG125"/>
    </row>
    <row r="126" spans="1:33" ht="12.75" outlineLevel="1">
      <c r="A126" s="165" t="s">
        <v>428</v>
      </c>
      <c r="B126" s="173">
        <v>70886.527508835425</v>
      </c>
      <c r="C126" s="163"/>
      <c r="D126"/>
      <c r="E126"/>
      <c r="F126"/>
      <c r="G126"/>
      <c r="H126"/>
      <c r="I126"/>
      <c r="J126"/>
      <c r="K126"/>
      <c r="L126"/>
      <c r="M126"/>
      <c r="N126"/>
      <c r="O126"/>
      <c r="P126"/>
      <c r="Q126"/>
      <c r="R126"/>
      <c r="S126"/>
      <c r="T126"/>
      <c r="U126"/>
      <c r="V126"/>
      <c r="W126"/>
      <c r="X126"/>
      <c r="Y126"/>
      <c r="Z126"/>
      <c r="AA126"/>
      <c r="AB126"/>
      <c r="AC126"/>
      <c r="AD126"/>
      <c r="AE126"/>
      <c r="AF126"/>
      <c r="AG126"/>
    </row>
    <row r="127" spans="1:33" ht="12.75" outlineLevel="1">
      <c r="A127" s="166" t="s">
        <v>429</v>
      </c>
      <c r="B127" s="580" t="s">
        <v>499</v>
      </c>
      <c r="C127" s="580" t="s">
        <v>500</v>
      </c>
      <c r="D127" s="582">
        <v>1999</v>
      </c>
      <c r="E127" s="583">
        <v>2000</v>
      </c>
      <c r="F127" s="583">
        <v>2001</v>
      </c>
      <c r="G127" s="583">
        <v>2002</v>
      </c>
      <c r="H127" s="583">
        <v>2003</v>
      </c>
      <c r="I127" s="583">
        <v>2004</v>
      </c>
      <c r="J127" s="583">
        <v>2005</v>
      </c>
      <c r="K127" s="583">
        <v>2006</v>
      </c>
      <c r="L127" s="583">
        <v>2007</v>
      </c>
      <c r="M127" s="583">
        <v>2008</v>
      </c>
      <c r="N127" s="583">
        <v>2009</v>
      </c>
      <c r="O127" s="584">
        <v>2010</v>
      </c>
      <c r="P127" s="171">
        <v>2011</v>
      </c>
      <c r="Q127" s="171">
        <v>2012</v>
      </c>
      <c r="R127" s="171">
        <v>2013</v>
      </c>
      <c r="S127" s="171">
        <v>2014</v>
      </c>
      <c r="T127" s="171">
        <v>2015</v>
      </c>
      <c r="U127" s="171">
        <v>2016</v>
      </c>
      <c r="V127" s="171">
        <v>2017</v>
      </c>
      <c r="W127" s="171">
        <v>2018</v>
      </c>
      <c r="X127" s="171">
        <v>2019</v>
      </c>
      <c r="Y127" s="171">
        <v>2020</v>
      </c>
      <c r="Z127"/>
      <c r="AA127"/>
      <c r="AB127"/>
      <c r="AC127"/>
      <c r="AD127"/>
      <c r="AE127"/>
      <c r="AF127"/>
      <c r="AG127"/>
    </row>
    <row r="128" spans="1:33" ht="12.75" outlineLevel="1">
      <c r="A128" s="166" t="s">
        <v>430</v>
      </c>
      <c r="B128" s="581">
        <f>NPV(0.1,D128:Y128)</f>
        <v>430162.92253933649</v>
      </c>
      <c r="C128" s="581">
        <f>B128-B118</f>
        <v>0</v>
      </c>
      <c r="D128" s="585">
        <v>26456.16517218751</v>
      </c>
      <c r="E128" s="586">
        <v>36622.816768205368</v>
      </c>
      <c r="F128" s="586">
        <v>36899.746726638754</v>
      </c>
      <c r="G128" s="586">
        <v>37130.460845427748</v>
      </c>
      <c r="H128" s="586">
        <v>46551.621850797776</v>
      </c>
      <c r="I128" s="586">
        <v>54368.336326315562</v>
      </c>
      <c r="J128" s="586">
        <v>55774.108175254165</v>
      </c>
      <c r="K128" s="586">
        <v>56836.434077905724</v>
      </c>
      <c r="L128" s="586">
        <v>58014.036281411987</v>
      </c>
      <c r="M128" s="586">
        <v>59306.280178476387</v>
      </c>
      <c r="N128" s="586">
        <v>60748.639046920085</v>
      </c>
      <c r="O128" s="587">
        <v>62343.69174515373</v>
      </c>
      <c r="P128" s="167">
        <v>64230.909919159676</v>
      </c>
      <c r="Q128" s="167">
        <v>66205.417394810589</v>
      </c>
      <c r="R128" s="167">
        <v>68260.193684227444</v>
      </c>
      <c r="S128" s="167">
        <v>70358.617934890586</v>
      </c>
      <c r="T128" s="167">
        <v>72482.439569493581</v>
      </c>
      <c r="U128" s="167">
        <v>74297.476797508541</v>
      </c>
      <c r="V128" s="167">
        <v>76073.923157972866</v>
      </c>
      <c r="W128" s="167">
        <v>77846.438412749994</v>
      </c>
      <c r="X128" s="167">
        <v>0</v>
      </c>
      <c r="Y128" s="167">
        <v>0</v>
      </c>
      <c r="Z128"/>
      <c r="AA128"/>
      <c r="AB128"/>
      <c r="AC128"/>
      <c r="AD128"/>
      <c r="AE128"/>
      <c r="AF128"/>
      <c r="AG128"/>
    </row>
    <row r="129" spans="1:33" ht="12.75" outlineLevel="1">
      <c r="A129" s="168" t="s">
        <v>431</v>
      </c>
      <c r="B129" s="581">
        <f>NPV(0.1,D129:Y129)</f>
        <v>204946.40042512363</v>
      </c>
      <c r="C129" s="581">
        <f>B129-B119</f>
        <v>0</v>
      </c>
      <c r="D129" s="585">
        <v>16735.502709040298</v>
      </c>
      <c r="E129" s="586">
        <v>20549.887971318658</v>
      </c>
      <c r="F129" s="586">
        <v>20884.596327685769</v>
      </c>
      <c r="G129" s="586">
        <v>21175.157720983079</v>
      </c>
      <c r="H129" s="586">
        <v>21537.944304557703</v>
      </c>
      <c r="I129" s="586">
        <v>21982.232066538116</v>
      </c>
      <c r="J129" s="586">
        <v>22508.100678439849</v>
      </c>
      <c r="K129" s="586">
        <v>23146.322167998507</v>
      </c>
      <c r="L129" s="586">
        <v>23905.713823261278</v>
      </c>
      <c r="M129" s="586">
        <v>24786.362703444302</v>
      </c>
      <c r="N129" s="586">
        <v>25819.048445614822</v>
      </c>
      <c r="O129" s="587">
        <v>27797.041501336425</v>
      </c>
      <c r="P129" s="167">
        <v>29091.623443915592</v>
      </c>
      <c r="Q129" s="167">
        <v>30458.642874935311</v>
      </c>
      <c r="R129" s="167">
        <v>31907.972875742285</v>
      </c>
      <c r="S129" s="167">
        <v>33403.579896533374</v>
      </c>
      <c r="T129" s="167">
        <v>34895.145558475575</v>
      </c>
      <c r="U129" s="167">
        <v>36390.58116490316</v>
      </c>
      <c r="V129" s="167">
        <v>37871.519507263365</v>
      </c>
      <c r="W129" s="167">
        <v>39472.270754660953</v>
      </c>
      <c r="X129" s="167">
        <v>0</v>
      </c>
      <c r="Y129" s="167">
        <v>0</v>
      </c>
      <c r="Z129"/>
      <c r="AA129"/>
      <c r="AB129"/>
      <c r="AC129"/>
      <c r="AD129"/>
      <c r="AE129"/>
      <c r="AF129"/>
      <c r="AG129"/>
    </row>
    <row r="130" spans="1:33" ht="12.75" outlineLevel="1">
      <c r="A130" s="168" t="s">
        <v>34</v>
      </c>
      <c r="B130" s="581">
        <f>NPV(0.1,D130:Y130)</f>
        <v>83954.012154855664</v>
      </c>
      <c r="C130" s="581">
        <f>B130-B120</f>
        <v>-77.267430303691071</v>
      </c>
      <c r="D130" s="585">
        <v>694.24856610639176</v>
      </c>
      <c r="E130" s="586">
        <v>1647.5506417220836</v>
      </c>
      <c r="F130" s="586">
        <v>1749.3300135516822</v>
      </c>
      <c r="G130" s="586">
        <v>1846.6538036257723</v>
      </c>
      <c r="H130" s="586">
        <v>7449.4486702188906</v>
      </c>
      <c r="I130" s="586">
        <v>12258.492653771274</v>
      </c>
      <c r="J130" s="586">
        <v>13177.448064651529</v>
      </c>
      <c r="K130" s="586">
        <v>13743.079909013757</v>
      </c>
      <c r="L130" s="586">
        <v>14359.188105253972</v>
      </c>
      <c r="M130" s="586">
        <v>15007.789688500066</v>
      </c>
      <c r="N130" s="586">
        <v>15694.566365342778</v>
      </c>
      <c r="O130" s="587">
        <v>15911.710065507039</v>
      </c>
      <c r="P130" s="167">
        <v>16784.120092315872</v>
      </c>
      <c r="Q130" s="167">
        <v>17717.581356486808</v>
      </c>
      <c r="R130" s="167">
        <v>18556.616812634031</v>
      </c>
      <c r="S130" s="167">
        <v>19602.793856806173</v>
      </c>
      <c r="T130" s="167">
        <v>20019.18933074388</v>
      </c>
      <c r="U130" s="167">
        <v>20225.63549950896</v>
      </c>
      <c r="V130" s="167">
        <v>20417.482897789261</v>
      </c>
      <c r="W130" s="167">
        <v>20504.499772774561</v>
      </c>
      <c r="X130" s="167">
        <v>0</v>
      </c>
      <c r="Y130" s="167">
        <v>0</v>
      </c>
      <c r="Z130"/>
      <c r="AA130"/>
      <c r="AB130"/>
      <c r="AC130"/>
      <c r="AD130"/>
      <c r="AE130"/>
      <c r="AF130"/>
      <c r="AG130"/>
    </row>
    <row r="131" spans="1:33" ht="12.75" outlineLevel="1">
      <c r="A131" s="168" t="s">
        <v>31</v>
      </c>
      <c r="B131" s="581">
        <f>NPV(0.1,D131:Y131)</f>
        <v>98458.208021973624</v>
      </c>
      <c r="C131" s="581">
        <f>B131-B121</f>
        <v>70.3297361175064</v>
      </c>
      <c r="D131" s="588">
        <v>2996.7235362620941</v>
      </c>
      <c r="E131" s="589">
        <v>5791.2257612541498</v>
      </c>
      <c r="F131" s="589">
        <v>5247.2281100629179</v>
      </c>
      <c r="G131" s="589">
        <v>5232.7462884520992</v>
      </c>
      <c r="H131" s="589">
        <v>14966.547110983822</v>
      </c>
      <c r="I131" s="589">
        <v>17738.8774022791</v>
      </c>
      <c r="J131" s="589">
        <v>13227.223011878626</v>
      </c>
      <c r="K131" s="589">
        <v>13119.008707717398</v>
      </c>
      <c r="L131" s="589">
        <v>13003.106265569164</v>
      </c>
      <c r="M131" s="589">
        <v>12874.661312781336</v>
      </c>
      <c r="N131" s="589">
        <v>12705.05848645936</v>
      </c>
      <c r="O131" s="590">
        <v>13115.555019232757</v>
      </c>
      <c r="P131" s="167">
        <v>12103.703417472658</v>
      </c>
      <c r="Q131" s="167">
        <v>11901.266763899777</v>
      </c>
      <c r="R131" s="167">
        <v>16898.870503167029</v>
      </c>
      <c r="S131" s="167">
        <v>24385.73983650807</v>
      </c>
      <c r="T131" s="167">
        <v>23090.570614077911</v>
      </c>
      <c r="U131" s="167">
        <v>23285.415616742783</v>
      </c>
      <c r="V131" s="167">
        <v>23481.986550579069</v>
      </c>
      <c r="W131" s="167">
        <v>23671.789918816463</v>
      </c>
      <c r="X131" s="167">
        <v>0</v>
      </c>
      <c r="Y131" s="167">
        <v>0</v>
      </c>
      <c r="Z131"/>
      <c r="AA131"/>
      <c r="AB131"/>
      <c r="AC131"/>
      <c r="AD131"/>
      <c r="AE131"/>
      <c r="AF131"/>
      <c r="AG131"/>
    </row>
    <row r="132" spans="1:33" ht="12.75" outlineLevel="1">
      <c r="A132" s="163"/>
      <c r="B132" s="163"/>
      <c r="C132" s="163"/>
      <c r="D132"/>
      <c r="E132"/>
      <c r="F132"/>
      <c r="G132"/>
      <c r="H132"/>
      <c r="I132"/>
      <c r="J132"/>
      <c r="K132"/>
      <c r="L132"/>
      <c r="M132"/>
      <c r="N132"/>
      <c r="O132"/>
      <c r="P132"/>
      <c r="Q132"/>
      <c r="R132"/>
      <c r="S132"/>
      <c r="T132"/>
      <c r="U132"/>
      <c r="V132"/>
      <c r="W132"/>
      <c r="X132"/>
      <c r="Y132"/>
      <c r="Z132"/>
      <c r="AA132"/>
      <c r="AB132"/>
      <c r="AC132"/>
      <c r="AD132"/>
      <c r="AE132"/>
      <c r="AF132"/>
      <c r="AG132"/>
    </row>
    <row r="133" spans="1:33" ht="12.75" outlineLevel="1">
      <c r="A133" s="169" t="s">
        <v>498</v>
      </c>
      <c r="B133" s="163"/>
      <c r="C133" s="163"/>
      <c r="D133"/>
      <c r="E133"/>
      <c r="F133"/>
      <c r="G133"/>
      <c r="H133"/>
      <c r="I133"/>
      <c r="J133"/>
      <c r="K133"/>
      <c r="L133"/>
      <c r="M133"/>
      <c r="N133"/>
      <c r="O133"/>
      <c r="P133"/>
      <c r="Q133"/>
      <c r="R133"/>
      <c r="S133"/>
      <c r="T133"/>
      <c r="U133"/>
      <c r="V133"/>
      <c r="W133"/>
      <c r="X133"/>
      <c r="Y133"/>
      <c r="Z133"/>
      <c r="AA133"/>
      <c r="AB133"/>
      <c r="AC133"/>
      <c r="AD133"/>
      <c r="AE133"/>
      <c r="AF133"/>
      <c r="AG133"/>
    </row>
    <row r="134" spans="1:33" ht="12.75" outlineLevel="1">
      <c r="A134" s="416">
        <v>36238</v>
      </c>
      <c r="B134" s="163"/>
      <c r="C134" s="163"/>
      <c r="D134"/>
      <c r="E134"/>
      <c r="F134"/>
      <c r="G134"/>
      <c r="H134"/>
      <c r="I134"/>
      <c r="J134"/>
      <c r="K134"/>
      <c r="L134"/>
      <c r="M134"/>
      <c r="N134"/>
      <c r="O134"/>
      <c r="P134"/>
      <c r="Q134"/>
      <c r="R134"/>
      <c r="S134"/>
      <c r="T134"/>
      <c r="U134"/>
      <c r="V134"/>
      <c r="W134"/>
      <c r="X134"/>
      <c r="Y134"/>
      <c r="Z134"/>
      <c r="AA134"/>
      <c r="AB134"/>
      <c r="AC134"/>
      <c r="AD134"/>
      <c r="AE134"/>
      <c r="AF134"/>
      <c r="AG134"/>
    </row>
    <row r="135" spans="1:33" ht="12.75" outlineLevel="1">
      <c r="A135" s="164" t="s">
        <v>427</v>
      </c>
      <c r="B135" s="172">
        <v>29519.524460502129</v>
      </c>
      <c r="C135" s="163" t="s">
        <v>534</v>
      </c>
      <c r="D135"/>
      <c r="E135"/>
      <c r="F135"/>
      <c r="G135"/>
      <c r="H135"/>
      <c r="I135"/>
      <c r="J135"/>
      <c r="K135"/>
      <c r="L135"/>
      <c r="M135"/>
      <c r="N135"/>
      <c r="O135"/>
      <c r="P135"/>
      <c r="Q135"/>
      <c r="R135"/>
      <c r="S135"/>
      <c r="T135"/>
      <c r="U135"/>
      <c r="V135"/>
      <c r="W135"/>
      <c r="X135"/>
      <c r="Y135"/>
      <c r="Z135"/>
      <c r="AA135"/>
      <c r="AB135"/>
      <c r="AC135"/>
      <c r="AD135"/>
      <c r="AE135"/>
      <c r="AF135"/>
      <c r="AG135"/>
    </row>
    <row r="136" spans="1:33" ht="12.75" outlineLevel="1">
      <c r="A136" s="165" t="s">
        <v>428</v>
      </c>
      <c r="B136" s="173">
        <v>63015.59964354954</v>
      </c>
      <c r="C136" s="163"/>
      <c r="D136"/>
      <c r="E136"/>
      <c r="F136"/>
      <c r="G136"/>
      <c r="H136"/>
      <c r="I136"/>
      <c r="J136"/>
      <c r="K136"/>
      <c r="L136"/>
      <c r="M136"/>
      <c r="N136"/>
      <c r="O136"/>
      <c r="P136"/>
      <c r="Q136"/>
      <c r="R136"/>
      <c r="S136"/>
      <c r="T136"/>
      <c r="U136"/>
      <c r="V136"/>
      <c r="W136"/>
      <c r="X136"/>
      <c r="Y136"/>
      <c r="Z136"/>
      <c r="AA136"/>
      <c r="AB136"/>
      <c r="AC136"/>
      <c r="AD136"/>
      <c r="AE136"/>
      <c r="AF136"/>
      <c r="AG136"/>
    </row>
    <row r="137" spans="1:33" ht="12.75" outlineLevel="1">
      <c r="A137" s="166" t="s">
        <v>429</v>
      </c>
      <c r="B137" s="580" t="s">
        <v>499</v>
      </c>
      <c r="C137" s="580" t="s">
        <v>500</v>
      </c>
      <c r="D137" s="582">
        <v>1999</v>
      </c>
      <c r="E137" s="583">
        <v>2000</v>
      </c>
      <c r="F137" s="583">
        <v>2001</v>
      </c>
      <c r="G137" s="583">
        <v>2002</v>
      </c>
      <c r="H137" s="583">
        <v>2003</v>
      </c>
      <c r="I137" s="583">
        <v>2004</v>
      </c>
      <c r="J137" s="583">
        <v>2005</v>
      </c>
      <c r="K137" s="583">
        <v>2006</v>
      </c>
      <c r="L137" s="583">
        <v>2007</v>
      </c>
      <c r="M137" s="583">
        <v>2008</v>
      </c>
      <c r="N137" s="583">
        <v>2009</v>
      </c>
      <c r="O137" s="584">
        <v>2010</v>
      </c>
      <c r="P137" s="171">
        <v>2011</v>
      </c>
      <c r="Q137" s="171">
        <v>2012</v>
      </c>
      <c r="R137" s="171">
        <v>2013</v>
      </c>
      <c r="S137" s="171">
        <v>2014</v>
      </c>
      <c r="T137" s="171">
        <v>2015</v>
      </c>
      <c r="U137" s="171">
        <v>2016</v>
      </c>
      <c r="V137" s="171">
        <v>2017</v>
      </c>
      <c r="W137" s="171">
        <v>2018</v>
      </c>
      <c r="X137" s="171">
        <v>2019</v>
      </c>
      <c r="Y137" s="171">
        <v>2020</v>
      </c>
      <c r="Z137"/>
      <c r="AA137"/>
      <c r="AB137"/>
      <c r="AC137"/>
      <c r="AD137"/>
      <c r="AE137"/>
      <c r="AF137"/>
      <c r="AG137"/>
    </row>
    <row r="138" spans="1:33" ht="12.75" outlineLevel="1">
      <c r="A138" s="166" t="s">
        <v>430</v>
      </c>
      <c r="B138" s="581">
        <f>NPV(0.1,D138:Y138)</f>
        <v>430162.92253933649</v>
      </c>
      <c r="C138" s="581">
        <f>B138-B128</f>
        <v>0</v>
      </c>
      <c r="D138" s="585">
        <v>26456.16517218751</v>
      </c>
      <c r="E138" s="586">
        <v>36622.816768205368</v>
      </c>
      <c r="F138" s="586">
        <v>36899.746726638754</v>
      </c>
      <c r="G138" s="586">
        <v>37130.460845427748</v>
      </c>
      <c r="H138" s="586">
        <v>46551.621850797776</v>
      </c>
      <c r="I138" s="586">
        <v>54368.336326315562</v>
      </c>
      <c r="J138" s="586">
        <v>55774.108175254165</v>
      </c>
      <c r="K138" s="586">
        <v>56836.434077905724</v>
      </c>
      <c r="L138" s="586">
        <v>58014.036281411987</v>
      </c>
      <c r="M138" s="586">
        <v>59306.280178476387</v>
      </c>
      <c r="N138" s="586">
        <v>60748.639046920085</v>
      </c>
      <c r="O138" s="587">
        <v>62343.69174515373</v>
      </c>
      <c r="P138" s="167">
        <v>64230.909919159676</v>
      </c>
      <c r="Q138" s="167">
        <v>66205.417394810589</v>
      </c>
      <c r="R138" s="167">
        <v>68260.193684227444</v>
      </c>
      <c r="S138" s="167">
        <v>70358.617934890586</v>
      </c>
      <c r="T138" s="167">
        <v>72482.439569493581</v>
      </c>
      <c r="U138" s="167">
        <v>74297.476797508541</v>
      </c>
      <c r="V138" s="167">
        <v>76073.923157972866</v>
      </c>
      <c r="W138" s="167">
        <v>77846.438412749994</v>
      </c>
      <c r="X138" s="167">
        <v>0</v>
      </c>
      <c r="Y138" s="167">
        <v>0</v>
      </c>
      <c r="Z138"/>
      <c r="AA138"/>
      <c r="AB138"/>
      <c r="AC138"/>
      <c r="AD138"/>
      <c r="AE138"/>
      <c r="AF138"/>
      <c r="AG138"/>
    </row>
    <row r="139" spans="1:33" ht="12.75" outlineLevel="1">
      <c r="A139" s="168" t="s">
        <v>431</v>
      </c>
      <c r="B139" s="581">
        <f>NPV(0.1,D139:Y139)</f>
        <v>212579.98928273958</v>
      </c>
      <c r="C139" s="581">
        <f>B139-B129</f>
        <v>7633.5888576159487</v>
      </c>
      <c r="D139" s="585">
        <v>17186.818210520843</v>
      </c>
      <c r="E139" s="586">
        <v>21329.650729664918</v>
      </c>
      <c r="F139" s="586">
        <v>21687.711448124403</v>
      </c>
      <c r="G139" s="586">
        <v>22002.317101959416</v>
      </c>
      <c r="H139" s="586">
        <v>22389.879324986592</v>
      </c>
      <c r="I139" s="586">
        <v>22859.69717765952</v>
      </c>
      <c r="J139" s="586">
        <v>23411.872588741888</v>
      </c>
      <c r="K139" s="586">
        <v>24077.206259795425</v>
      </c>
      <c r="L139" s="586">
        <v>24864.539614205562</v>
      </c>
      <c r="M139" s="586">
        <v>25773.984032284432</v>
      </c>
      <c r="N139" s="586">
        <v>26836.349950688706</v>
      </c>
      <c r="O139" s="587">
        <v>28844.934145856376</v>
      </c>
      <c r="P139" s="167">
        <v>30171.044767412212</v>
      </c>
      <c r="Q139" s="167">
        <v>31570.546292825908</v>
      </c>
      <c r="R139" s="167">
        <v>33053.338953012826</v>
      </c>
      <c r="S139" s="167">
        <v>34583.412489969822</v>
      </c>
      <c r="T139" s="167">
        <v>36110.475614576324</v>
      </c>
      <c r="U139" s="167">
        <v>37642.469080581781</v>
      </c>
      <c r="V139" s="167">
        <v>39161.051873136195</v>
      </c>
      <c r="W139" s="167">
        <v>40800.572595724123</v>
      </c>
      <c r="X139" s="167">
        <v>0</v>
      </c>
      <c r="Y139" s="167">
        <v>0</v>
      </c>
      <c r="Z139"/>
      <c r="AA139"/>
      <c r="AB139"/>
      <c r="AC139"/>
      <c r="AD139"/>
      <c r="AE139"/>
      <c r="AF139"/>
      <c r="AG139"/>
    </row>
    <row r="140" spans="1:33" ht="12.75" outlineLevel="1">
      <c r="A140" s="168" t="s">
        <v>34</v>
      </c>
      <c r="B140" s="581">
        <f>NPV(0.1,D140:Y140)</f>
        <v>79925.455961162181</v>
      </c>
      <c r="C140" s="581">
        <f>B140-B130</f>
        <v>-4028.5561936934828</v>
      </c>
      <c r="D140" s="585">
        <v>510.83064291089818</v>
      </c>
      <c r="E140" s="586">
        <v>1315.5779318448215</v>
      </c>
      <c r="F140" s="586">
        <v>1396.4580187978036</v>
      </c>
      <c r="G140" s="586">
        <v>1452.5762113184514</v>
      </c>
      <c r="H140" s="586">
        <v>7034.8771493042241</v>
      </c>
      <c r="I140" s="586">
        <v>11828.354987298568</v>
      </c>
      <c r="J140" s="586">
        <v>12730.410706257058</v>
      </c>
      <c r="K140" s="586">
        <v>13246.455745352181</v>
      </c>
      <c r="L140" s="586">
        <v>13842.66033695387</v>
      </c>
      <c r="M140" s="586">
        <v>14469.669588875939</v>
      </c>
      <c r="N140" s="586">
        <v>15133.027216424858</v>
      </c>
      <c r="O140" s="587">
        <v>15289.610369479715</v>
      </c>
      <c r="P140" s="167">
        <v>16134.488540121882</v>
      </c>
      <c r="Q140" s="167">
        <v>17038.10685746032</v>
      </c>
      <c r="R140" s="167">
        <v>17852.627056240777</v>
      </c>
      <c r="S140" s="167">
        <v>18824.180129610904</v>
      </c>
      <c r="T140" s="167">
        <v>19227.865083885186</v>
      </c>
      <c r="U140" s="167">
        <v>19421.219417396933</v>
      </c>
      <c r="V140" s="167">
        <v>19599.582225366314</v>
      </c>
      <c r="W140" s="167">
        <v>19628.163163229357</v>
      </c>
      <c r="X140" s="167">
        <v>0</v>
      </c>
      <c r="Y140" s="167">
        <v>0</v>
      </c>
      <c r="Z140"/>
      <c r="AA140"/>
      <c r="AB140"/>
      <c r="AC140"/>
      <c r="AD140"/>
      <c r="AE140"/>
      <c r="AF140"/>
      <c r="AG140"/>
    </row>
    <row r="141" spans="1:33" ht="12.75" outlineLevel="1">
      <c r="A141" s="168" t="s">
        <v>31</v>
      </c>
      <c r="B141" s="581">
        <f>NPV(0.1,D141:Y141)</f>
        <v>96057.149129167461</v>
      </c>
      <c r="C141" s="581">
        <f>B141-B131</f>
        <v>-2401.0588928061625</v>
      </c>
      <c r="D141" s="588">
        <v>2836.2637798966075</v>
      </c>
      <c r="E141" s="589">
        <v>5515.1563922037612</v>
      </c>
      <c r="F141" s="589">
        <v>4973.9376025748606</v>
      </c>
      <c r="G141" s="589">
        <v>4932.7013952764673</v>
      </c>
      <c r="H141" s="589">
        <v>14423.15141806318</v>
      </c>
      <c r="I141" s="589">
        <v>18497.546728328431</v>
      </c>
      <c r="J141" s="589">
        <v>12954.726793035064</v>
      </c>
      <c r="K141" s="589">
        <v>12822.610324558398</v>
      </c>
      <c r="L141" s="589">
        <v>12714.896293915299</v>
      </c>
      <c r="M141" s="589">
        <v>12595.56157075923</v>
      </c>
      <c r="N141" s="589">
        <v>12436.072541491505</v>
      </c>
      <c r="O141" s="590">
        <v>12822.609305634578</v>
      </c>
      <c r="P141" s="167">
        <v>11823.151553515261</v>
      </c>
      <c r="Q141" s="167">
        <v>11634.400487879975</v>
      </c>
      <c r="R141" s="167">
        <v>16373.250157837263</v>
      </c>
      <c r="S141" s="167">
        <v>23607.128843408966</v>
      </c>
      <c r="T141" s="167">
        <v>22299.249105536139</v>
      </c>
      <c r="U141" s="167">
        <v>22481.002277174957</v>
      </c>
      <c r="V141" s="167">
        <v>22664.08862493412</v>
      </c>
      <c r="W141" s="167">
        <v>22795.456060289598</v>
      </c>
      <c r="X141" s="167">
        <v>0</v>
      </c>
      <c r="Y141" s="167">
        <v>0</v>
      </c>
      <c r="Z141"/>
      <c r="AA141"/>
      <c r="AB141"/>
      <c r="AC141"/>
      <c r="AD141"/>
      <c r="AE141"/>
      <c r="AF141"/>
      <c r="AG141"/>
    </row>
    <row r="142" spans="1:33" ht="12.75" outlineLevel="1">
      <c r="A142" s="163"/>
      <c r="B142" s="163"/>
      <c r="C142" s="163"/>
      <c r="D142"/>
      <c r="E142"/>
      <c r="F142"/>
      <c r="G142"/>
      <c r="H142"/>
      <c r="I142"/>
      <c r="J142"/>
      <c r="K142"/>
      <c r="L142"/>
      <c r="M142"/>
      <c r="N142"/>
      <c r="O142"/>
      <c r="P142"/>
      <c r="Q142"/>
      <c r="R142"/>
      <c r="S142"/>
      <c r="T142"/>
      <c r="U142"/>
      <c r="V142"/>
      <c r="W142"/>
      <c r="X142"/>
      <c r="Y142"/>
      <c r="Z142"/>
      <c r="AA142"/>
      <c r="AB142"/>
      <c r="AC142"/>
      <c r="AD142"/>
      <c r="AE142"/>
      <c r="AF142"/>
      <c r="AG142"/>
    </row>
    <row r="143" spans="1:33" ht="12.75">
      <c r="A143" s="169" t="s">
        <v>504</v>
      </c>
      <c r="B143" s="163"/>
      <c r="C143" s="163"/>
      <c r="D143"/>
      <c r="E143"/>
      <c r="F143"/>
      <c r="G143"/>
      <c r="H143"/>
      <c r="I143"/>
      <c r="J143"/>
      <c r="K143"/>
      <c r="L143"/>
      <c r="M143"/>
      <c r="N143"/>
      <c r="O143"/>
      <c r="P143"/>
      <c r="Q143"/>
      <c r="R143"/>
      <c r="S143"/>
      <c r="T143"/>
      <c r="U143"/>
      <c r="V143"/>
      <c r="W143"/>
      <c r="X143"/>
      <c r="Y143"/>
      <c r="Z143"/>
      <c r="AA143"/>
      <c r="AB143"/>
      <c r="AC143"/>
      <c r="AD143"/>
      <c r="AE143"/>
      <c r="AF143"/>
      <c r="AG143"/>
    </row>
    <row r="144" spans="1:33" ht="12.75">
      <c r="A144" s="416">
        <v>36241</v>
      </c>
      <c r="B144" s="163"/>
      <c r="C144" s="163"/>
      <c r="D144"/>
      <c r="E144"/>
      <c r="F144"/>
      <c r="G144"/>
      <c r="H144"/>
      <c r="I144"/>
      <c r="J144"/>
      <c r="K144"/>
      <c r="L144"/>
      <c r="M144"/>
      <c r="N144"/>
      <c r="O144"/>
      <c r="P144"/>
      <c r="Q144"/>
      <c r="R144"/>
      <c r="S144"/>
      <c r="T144"/>
      <c r="U144"/>
      <c r="V144"/>
      <c r="W144"/>
      <c r="X144"/>
      <c r="Y144"/>
      <c r="Z144"/>
      <c r="AA144"/>
      <c r="AB144"/>
      <c r="AC144"/>
      <c r="AD144"/>
      <c r="AE144"/>
      <c r="AF144"/>
      <c r="AG144"/>
    </row>
    <row r="145" spans="1:33" ht="12.75">
      <c r="A145" s="164" t="s">
        <v>427</v>
      </c>
      <c r="B145" s="172">
        <v>31726.391017243997</v>
      </c>
      <c r="C145" s="163" t="s">
        <v>534</v>
      </c>
      <c r="D145"/>
      <c r="E145"/>
      <c r="F145"/>
      <c r="G145"/>
      <c r="H145"/>
      <c r="I145"/>
      <c r="J145"/>
      <c r="K145"/>
      <c r="L145"/>
      <c r="M145"/>
      <c r="N145"/>
      <c r="O145"/>
      <c r="P145"/>
      <c r="Q145"/>
      <c r="R145"/>
      <c r="S145"/>
      <c r="T145"/>
      <c r="U145"/>
      <c r="V145"/>
      <c r="W145"/>
      <c r="X145"/>
      <c r="Y145"/>
      <c r="Z145"/>
      <c r="AA145"/>
      <c r="AB145"/>
      <c r="AC145"/>
      <c r="AD145"/>
      <c r="AE145"/>
      <c r="AF145"/>
      <c r="AG145"/>
    </row>
    <row r="146" spans="1:33" s="139" customFormat="1" ht="12.75">
      <c r="A146" s="165" t="s">
        <v>428</v>
      </c>
      <c r="B146" s="173">
        <v>66616.329072308668</v>
      </c>
      <c r="C146" s="163"/>
      <c r="D146"/>
      <c r="E146"/>
      <c r="F146"/>
      <c r="G146"/>
      <c r="H146"/>
      <c r="I146"/>
      <c r="J146"/>
      <c r="K146"/>
      <c r="L146"/>
      <c r="M146"/>
      <c r="N146"/>
      <c r="O146"/>
      <c r="P146"/>
      <c r="Q146"/>
      <c r="R146"/>
      <c r="S146"/>
      <c r="T146"/>
      <c r="U146"/>
      <c r="V146"/>
      <c r="W146"/>
      <c r="X146"/>
      <c r="Y146"/>
      <c r="Z146"/>
      <c r="AA146"/>
      <c r="AB146"/>
      <c r="AC146"/>
      <c r="AD146"/>
      <c r="AE146"/>
      <c r="AF146"/>
      <c r="AG146"/>
    </row>
    <row r="147" spans="1:33" s="139" customFormat="1" ht="12.75" outlineLevel="1">
      <c r="A147" s="166" t="s">
        <v>429</v>
      </c>
      <c r="B147" s="580" t="s">
        <v>499</v>
      </c>
      <c r="C147" s="580" t="s">
        <v>500</v>
      </c>
      <c r="D147" s="582">
        <v>1999</v>
      </c>
      <c r="E147" s="583">
        <v>2000</v>
      </c>
      <c r="F147" s="583">
        <v>2001</v>
      </c>
      <c r="G147" s="583">
        <v>2002</v>
      </c>
      <c r="H147" s="583">
        <v>2003</v>
      </c>
      <c r="I147" s="583">
        <v>2004</v>
      </c>
      <c r="J147" s="583">
        <v>2005</v>
      </c>
      <c r="K147" s="583">
        <v>2006</v>
      </c>
      <c r="L147" s="583">
        <v>2007</v>
      </c>
      <c r="M147" s="583">
        <v>2008</v>
      </c>
      <c r="N147" s="583">
        <v>2009</v>
      </c>
      <c r="O147" s="584">
        <v>2010</v>
      </c>
      <c r="P147" s="171">
        <v>2011</v>
      </c>
      <c r="Q147" s="171">
        <v>2012</v>
      </c>
      <c r="R147" s="171">
        <v>2013</v>
      </c>
      <c r="S147" s="171">
        <v>2014</v>
      </c>
      <c r="T147" s="171">
        <v>2015</v>
      </c>
      <c r="U147" s="171">
        <v>2016</v>
      </c>
      <c r="V147" s="171">
        <v>2017</v>
      </c>
      <c r="W147" s="171">
        <v>2018</v>
      </c>
      <c r="X147" s="171">
        <v>2019</v>
      </c>
      <c r="Y147"/>
      <c r="Z147"/>
      <c r="AA147"/>
      <c r="AB147"/>
      <c r="AC147"/>
      <c r="AD147"/>
      <c r="AE147"/>
      <c r="AF147"/>
      <c r="AG147"/>
    </row>
    <row r="148" spans="1:33" s="139" customFormat="1" ht="12.75" outlineLevel="1">
      <c r="A148" s="166" t="s">
        <v>430</v>
      </c>
      <c r="B148" s="581">
        <f>NPV(0.1,D148:Y148)</f>
        <v>440714.40708929661</v>
      </c>
      <c r="C148" s="581">
        <f>B148-B138</f>
        <v>10551.484549960122</v>
      </c>
      <c r="D148" s="585">
        <v>26456.16517218751</v>
      </c>
      <c r="E148" s="586">
        <v>36622.816768205368</v>
      </c>
      <c r="F148" s="586">
        <v>36899.746726638754</v>
      </c>
      <c r="G148" s="586">
        <v>37130.460845427748</v>
      </c>
      <c r="H148" s="586">
        <v>46551.621850797776</v>
      </c>
      <c r="I148" s="586">
        <v>54368.336326315562</v>
      </c>
      <c r="J148" s="586">
        <v>55774.108175254165</v>
      </c>
      <c r="K148" s="586">
        <v>56836.434077905724</v>
      </c>
      <c r="L148" s="586">
        <v>58014.036281411987</v>
      </c>
      <c r="M148" s="586">
        <v>59306.280178476387</v>
      </c>
      <c r="N148" s="586">
        <v>60748.639046920085</v>
      </c>
      <c r="O148" s="587">
        <v>62343.69174515373</v>
      </c>
      <c r="P148" s="167">
        <v>64230.909919159676</v>
      </c>
      <c r="Q148" s="167">
        <v>66205.417394810589</v>
      </c>
      <c r="R148" s="167">
        <v>68260.193684227444</v>
      </c>
      <c r="S148" s="167">
        <v>70358.617934890586</v>
      </c>
      <c r="T148" s="167">
        <v>72482.439569493581</v>
      </c>
      <c r="U148" s="167">
        <v>74297.476797508541</v>
      </c>
      <c r="V148" s="167">
        <v>76073.923157972866</v>
      </c>
      <c r="W148" s="167">
        <v>77846.438412749994</v>
      </c>
      <c r="X148" s="167">
        <v>78083.622952683683</v>
      </c>
      <c r="Y148"/>
      <c r="Z148"/>
      <c r="AA148"/>
      <c r="AB148"/>
      <c r="AC148"/>
      <c r="AD148"/>
      <c r="AE148"/>
      <c r="AF148"/>
      <c r="AG148"/>
    </row>
    <row r="149" spans="1:33" s="139" customFormat="1" ht="12.75" outlineLevel="1">
      <c r="A149" s="168" t="s">
        <v>431</v>
      </c>
      <c r="B149" s="581">
        <f>NPV(0.1,D149:Y149)</f>
        <v>218073.78481636191</v>
      </c>
      <c r="C149" s="581">
        <f>B149-B139</f>
        <v>5493.795533622324</v>
      </c>
      <c r="D149" s="585">
        <v>17186.818210520843</v>
      </c>
      <c r="E149" s="586">
        <v>21329.650729664918</v>
      </c>
      <c r="F149" s="586">
        <v>21687.711448124403</v>
      </c>
      <c r="G149" s="586">
        <v>22002.317101959416</v>
      </c>
      <c r="H149" s="586">
        <v>22389.879324986592</v>
      </c>
      <c r="I149" s="586">
        <v>22859.69717765952</v>
      </c>
      <c r="J149" s="586">
        <v>23411.872588741888</v>
      </c>
      <c r="K149" s="586">
        <v>24077.206259795425</v>
      </c>
      <c r="L149" s="586">
        <v>24864.539614205562</v>
      </c>
      <c r="M149" s="586">
        <v>25773.984032284432</v>
      </c>
      <c r="N149" s="586">
        <v>26836.349950688702</v>
      </c>
      <c r="O149" s="587">
        <v>28844.934145856372</v>
      </c>
      <c r="P149" s="167">
        <v>30171.044767412212</v>
      </c>
      <c r="Q149" s="167">
        <v>31570.546292825908</v>
      </c>
      <c r="R149" s="167">
        <v>33053.338953012826</v>
      </c>
      <c r="S149" s="167">
        <v>34583.412489969822</v>
      </c>
      <c r="T149" s="167">
        <v>36110.475614576324</v>
      </c>
      <c r="U149" s="167">
        <v>37642.469080581774</v>
      </c>
      <c r="V149" s="167">
        <v>39161.051873136188</v>
      </c>
      <c r="W149" s="167">
        <v>40800.572595724123</v>
      </c>
      <c r="X149" s="167">
        <v>40655.460091454588</v>
      </c>
      <c r="Y149"/>
      <c r="Z149"/>
      <c r="AA149"/>
      <c r="AB149"/>
      <c r="AC149"/>
      <c r="AD149"/>
      <c r="AE149"/>
      <c r="AF149"/>
      <c r="AG149"/>
    </row>
    <row r="150" spans="1:33" s="139" customFormat="1" ht="12.75" outlineLevel="1">
      <c r="A150" s="168" t="s">
        <v>34</v>
      </c>
      <c r="B150" s="581">
        <f>NPV(0.1,D150:Y150)</f>
        <v>82612.463688566655</v>
      </c>
      <c r="C150" s="581">
        <f>B150-B140</f>
        <v>2687.0077274044743</v>
      </c>
      <c r="D150" s="585">
        <v>510.83064291089818</v>
      </c>
      <c r="E150" s="586">
        <v>1315.5779318448215</v>
      </c>
      <c r="F150" s="586">
        <v>1396.4580187978036</v>
      </c>
      <c r="G150" s="586">
        <v>1452.5762113184514</v>
      </c>
      <c r="H150" s="586">
        <v>7034.8771493042241</v>
      </c>
      <c r="I150" s="586">
        <v>11828.354987298568</v>
      </c>
      <c r="J150" s="586">
        <v>12730.410706257058</v>
      </c>
      <c r="K150" s="586">
        <v>13246.455745352181</v>
      </c>
      <c r="L150" s="586">
        <v>13842.66033695387</v>
      </c>
      <c r="M150" s="586">
        <v>14469.669588875939</v>
      </c>
      <c r="N150" s="586">
        <v>15133.027216424858</v>
      </c>
      <c r="O150" s="587">
        <v>15289.610369479715</v>
      </c>
      <c r="P150" s="167">
        <v>16134.488540121882</v>
      </c>
      <c r="Q150" s="167">
        <v>17038.10685746032</v>
      </c>
      <c r="R150" s="167">
        <v>17852.627056240777</v>
      </c>
      <c r="S150" s="167">
        <v>18824.180129610904</v>
      </c>
      <c r="T150" s="167">
        <v>19227.865083885186</v>
      </c>
      <c r="U150" s="167">
        <v>19421.21941739694</v>
      </c>
      <c r="V150" s="167">
        <v>19599.582225366314</v>
      </c>
      <c r="W150" s="167">
        <v>19628.163163229357</v>
      </c>
      <c r="X150" s="167">
        <v>19884.528784946262</v>
      </c>
      <c r="Y150"/>
      <c r="Z150"/>
      <c r="AA150"/>
      <c r="AB150"/>
      <c r="AC150"/>
      <c r="AD150"/>
      <c r="AE150"/>
      <c r="AF150"/>
      <c r="AG150"/>
    </row>
    <row r="151" spans="1:33" s="139" customFormat="1" ht="12.75" outlineLevel="1">
      <c r="A151" s="168" t="s">
        <v>31</v>
      </c>
      <c r="B151" s="581">
        <f>NPV(0.1,D151:Y151)</f>
        <v>99135.273108186913</v>
      </c>
      <c r="C151" s="581">
        <f>B151-B141</f>
        <v>3078.1239790194522</v>
      </c>
      <c r="D151" s="588">
        <v>2836.2637798966075</v>
      </c>
      <c r="E151" s="589">
        <v>5515.1563922037612</v>
      </c>
      <c r="F151" s="589">
        <v>4973.9376025748606</v>
      </c>
      <c r="G151" s="589">
        <v>4932.7013952764673</v>
      </c>
      <c r="H151" s="589">
        <v>14423.15141806318</v>
      </c>
      <c r="I151" s="589">
        <v>18497.546728328431</v>
      </c>
      <c r="J151" s="589">
        <v>12954.726793035064</v>
      </c>
      <c r="K151" s="589">
        <v>12822.610324558398</v>
      </c>
      <c r="L151" s="589">
        <v>12714.896293915299</v>
      </c>
      <c r="M151" s="589">
        <v>12595.56157075923</v>
      </c>
      <c r="N151" s="589">
        <v>12436.072541491505</v>
      </c>
      <c r="O151" s="590">
        <v>12822.609305634578</v>
      </c>
      <c r="P151" s="167">
        <v>11823.151553515261</v>
      </c>
      <c r="Q151" s="167">
        <v>11634.400487879975</v>
      </c>
      <c r="R151" s="167">
        <v>16373.250157837263</v>
      </c>
      <c r="S151" s="167">
        <v>23607.128843408966</v>
      </c>
      <c r="T151" s="167">
        <v>22299.249105536139</v>
      </c>
      <c r="U151" s="167">
        <v>22481.002277174965</v>
      </c>
      <c r="V151" s="167">
        <v>22664.088624934124</v>
      </c>
      <c r="W151" s="167">
        <v>22795.456060289598</v>
      </c>
      <c r="X151" s="167">
        <v>22778.886804158385</v>
      </c>
      <c r="Y151"/>
      <c r="Z151"/>
      <c r="AA151"/>
      <c r="AB151"/>
      <c r="AC151"/>
      <c r="AD151"/>
      <c r="AE151"/>
      <c r="AF151"/>
      <c r="AG151"/>
    </row>
    <row r="152" spans="1:33" s="139" customFormat="1" ht="12.75" outlineLevel="1">
      <c r="A152" s="163"/>
      <c r="B152" s="163"/>
      <c r="C152" s="163"/>
      <c r="D152"/>
      <c r="E152"/>
      <c r="F152"/>
      <c r="G152"/>
      <c r="H152"/>
      <c r="I152"/>
      <c r="J152"/>
      <c r="K152"/>
      <c r="L152"/>
      <c r="M152"/>
      <c r="N152"/>
      <c r="O152"/>
      <c r="P152"/>
      <c r="Q152"/>
      <c r="R152"/>
      <c r="S152"/>
      <c r="T152"/>
      <c r="U152"/>
      <c r="V152"/>
      <c r="W152"/>
      <c r="X152"/>
      <c r="Y152"/>
      <c r="Z152"/>
      <c r="AA152"/>
      <c r="AB152"/>
      <c r="AC152"/>
      <c r="AD152"/>
      <c r="AE152"/>
      <c r="AF152"/>
      <c r="AG152"/>
    </row>
    <row r="153" spans="1:33" s="139" customFormat="1" ht="12.75" outlineLevel="1">
      <c r="A153" s="169" t="s">
        <v>506</v>
      </c>
      <c r="B153" s="163"/>
      <c r="C153" s="163"/>
      <c r="D153"/>
      <c r="E153"/>
      <c r="F153"/>
      <c r="G153"/>
      <c r="H153"/>
      <c r="I153"/>
      <c r="J153"/>
      <c r="K153"/>
      <c r="L153"/>
      <c r="M153"/>
      <c r="N153"/>
      <c r="O153"/>
      <c r="P153"/>
      <c r="Q153"/>
      <c r="R153"/>
      <c r="S153"/>
      <c r="T153"/>
      <c r="U153"/>
      <c r="V153"/>
      <c r="W153"/>
      <c r="X153"/>
      <c r="Y153"/>
      <c r="Z153"/>
      <c r="AA153"/>
      <c r="AB153"/>
      <c r="AC153"/>
      <c r="AD153"/>
      <c r="AE153"/>
      <c r="AF153"/>
      <c r="AG153"/>
    </row>
    <row r="154" spans="1:33" s="139" customFormat="1" ht="12.75" outlineLevel="1">
      <c r="A154" s="416">
        <v>36248</v>
      </c>
      <c r="B154" s="163"/>
      <c r="C154" s="163"/>
      <c r="D154"/>
      <c r="E154"/>
      <c r="F154"/>
      <c r="G154"/>
      <c r="H154"/>
      <c r="I154"/>
      <c r="J154"/>
      <c r="K154"/>
      <c r="L154"/>
      <c r="M154"/>
      <c r="N154"/>
      <c r="O154"/>
      <c r="P154"/>
      <c r="Q154"/>
      <c r="R154"/>
      <c r="S154"/>
      <c r="T154"/>
      <c r="U154"/>
      <c r="V154"/>
      <c r="W154"/>
      <c r="X154"/>
      <c r="Y154"/>
      <c r="Z154"/>
      <c r="AA154"/>
      <c r="AB154"/>
      <c r="AC154"/>
      <c r="AD154"/>
      <c r="AE154"/>
      <c r="AF154"/>
      <c r="AG154"/>
    </row>
    <row r="155" spans="1:33" s="139" customFormat="1" ht="12.75" outlineLevel="1">
      <c r="A155" s="164" t="s">
        <v>427</v>
      </c>
      <c r="B155" s="172">
        <v>31612.383925441907</v>
      </c>
      <c r="C155" s="163" t="s">
        <v>534</v>
      </c>
      <c r="D155"/>
      <c r="E155"/>
      <c r="F155"/>
      <c r="G155"/>
      <c r="H155"/>
      <c r="I155"/>
      <c r="J155"/>
      <c r="K155"/>
      <c r="L155"/>
      <c r="M155"/>
      <c r="N155"/>
      <c r="O155"/>
      <c r="P155"/>
      <c r="Q155"/>
      <c r="R155"/>
      <c r="S155"/>
      <c r="T155"/>
      <c r="U155"/>
      <c r="V155"/>
      <c r="W155"/>
      <c r="X155"/>
      <c r="Y155"/>
      <c r="Z155"/>
      <c r="AA155"/>
      <c r="AB155"/>
      <c r="AC155"/>
      <c r="AD155"/>
      <c r="AE155"/>
      <c r="AF155"/>
      <c r="AG155"/>
    </row>
    <row r="156" spans="1:33" s="139" customFormat="1" ht="12.75" outlineLevel="1">
      <c r="A156" s="165" t="s">
        <v>428</v>
      </c>
      <c r="B156" s="173">
        <v>66462.206113068431</v>
      </c>
      <c r="C156" s="163"/>
      <c r="D156"/>
      <c r="E156"/>
      <c r="F156"/>
      <c r="G156"/>
      <c r="H156"/>
      <c r="I156"/>
      <c r="J156"/>
      <c r="K156"/>
      <c r="L156"/>
      <c r="M156"/>
      <c r="N156"/>
      <c r="O156"/>
      <c r="P156"/>
      <c r="Q156"/>
      <c r="R156"/>
      <c r="S156"/>
      <c r="T156"/>
      <c r="U156"/>
      <c r="V156"/>
      <c r="W156"/>
      <c r="X156"/>
      <c r="Y156"/>
      <c r="Z156"/>
      <c r="AA156"/>
      <c r="AB156"/>
      <c r="AC156"/>
      <c r="AD156"/>
      <c r="AE156"/>
      <c r="AF156"/>
      <c r="AG156"/>
    </row>
    <row r="157" spans="1:33" s="139" customFormat="1" ht="12.75" outlineLevel="1">
      <c r="A157" s="166" t="s">
        <v>429</v>
      </c>
      <c r="B157" s="580" t="s">
        <v>499</v>
      </c>
      <c r="C157" s="580" t="s">
        <v>500</v>
      </c>
      <c r="D157" s="582">
        <v>1999</v>
      </c>
      <c r="E157" s="583">
        <v>2000</v>
      </c>
      <c r="F157" s="583">
        <v>2001</v>
      </c>
      <c r="G157" s="583">
        <v>2002</v>
      </c>
      <c r="H157" s="583">
        <v>2003</v>
      </c>
      <c r="I157" s="583">
        <v>2004</v>
      </c>
      <c r="J157" s="583">
        <v>2005</v>
      </c>
      <c r="K157" s="583">
        <v>2006</v>
      </c>
      <c r="L157" s="583">
        <v>2007</v>
      </c>
      <c r="M157" s="583">
        <v>2008</v>
      </c>
      <c r="N157" s="583">
        <v>2009</v>
      </c>
      <c r="O157" s="584">
        <v>2010</v>
      </c>
      <c r="P157" s="171">
        <v>2011</v>
      </c>
      <c r="Q157" s="171">
        <v>2012</v>
      </c>
      <c r="R157" s="171">
        <v>2013</v>
      </c>
      <c r="S157" s="171">
        <v>2014</v>
      </c>
      <c r="T157" s="171">
        <v>2015</v>
      </c>
      <c r="U157" s="171">
        <v>2016</v>
      </c>
      <c r="V157" s="171">
        <v>2017</v>
      </c>
      <c r="W157" s="171">
        <v>2018</v>
      </c>
      <c r="X157" s="171">
        <v>2019</v>
      </c>
      <c r="Y157"/>
      <c r="Z157"/>
      <c r="AA157"/>
      <c r="AB157"/>
      <c r="AC157"/>
      <c r="AD157"/>
      <c r="AE157"/>
      <c r="AF157"/>
      <c r="AG157"/>
    </row>
    <row r="158" spans="1:33" s="139" customFormat="1" ht="12.75" outlineLevel="1">
      <c r="A158" s="166" t="s">
        <v>430</v>
      </c>
      <c r="B158" s="581">
        <f>NPV(0.1,D158:Y158)</f>
        <v>440714.40708929661</v>
      </c>
      <c r="C158" s="581">
        <f>B158-B148</f>
        <v>0</v>
      </c>
      <c r="D158" s="585">
        <v>26456.16517218751</v>
      </c>
      <c r="E158" s="586">
        <v>36622.816768205368</v>
      </c>
      <c r="F158" s="586">
        <v>36899.746726638754</v>
      </c>
      <c r="G158" s="586">
        <v>37130.460845427748</v>
      </c>
      <c r="H158" s="586">
        <v>46551.621850797776</v>
      </c>
      <c r="I158" s="586">
        <v>54368.336326315562</v>
      </c>
      <c r="J158" s="586">
        <v>55774.108175254165</v>
      </c>
      <c r="K158" s="586">
        <v>56836.434077905724</v>
      </c>
      <c r="L158" s="586">
        <v>58014.036281411987</v>
      </c>
      <c r="M158" s="586">
        <v>59306.280178476387</v>
      </c>
      <c r="N158" s="586">
        <v>60748.639046920085</v>
      </c>
      <c r="O158" s="587">
        <v>62343.69174515373</v>
      </c>
      <c r="P158" s="167">
        <v>64230.909919159676</v>
      </c>
      <c r="Q158" s="167">
        <v>66205.417394810589</v>
      </c>
      <c r="R158" s="167">
        <v>68260.193684227444</v>
      </c>
      <c r="S158" s="167">
        <v>70358.617934890586</v>
      </c>
      <c r="T158" s="167">
        <v>72482.439569493581</v>
      </c>
      <c r="U158" s="167">
        <v>74297.476797508541</v>
      </c>
      <c r="V158" s="167">
        <v>76073.923157972866</v>
      </c>
      <c r="W158" s="167">
        <v>77846.438412749994</v>
      </c>
      <c r="X158" s="167">
        <v>78083.622952683683</v>
      </c>
      <c r="Y158"/>
      <c r="Z158"/>
      <c r="AA158"/>
      <c r="AB158"/>
      <c r="AC158"/>
      <c r="AD158"/>
      <c r="AE158"/>
      <c r="AF158"/>
      <c r="AG158"/>
    </row>
    <row r="159" spans="1:33" s="139" customFormat="1" ht="12.75" outlineLevel="1">
      <c r="A159" s="168" t="s">
        <v>431</v>
      </c>
      <c r="B159" s="581">
        <f>NPV(0.1,D159:Y159)</f>
        <v>218232.23466634442</v>
      </c>
      <c r="C159" s="581">
        <f>B159-B149</f>
        <v>158.44984998251311</v>
      </c>
      <c r="D159" s="585">
        <v>17195.778210520843</v>
      </c>
      <c r="E159" s="586">
        <v>21345.471529664919</v>
      </c>
      <c r="F159" s="586">
        <v>21704.006872124402</v>
      </c>
      <c r="G159" s="586">
        <v>22019.101388679414</v>
      </c>
      <c r="H159" s="586">
        <v>22407.167140308193</v>
      </c>
      <c r="I159" s="586">
        <v>22877.503627440768</v>
      </c>
      <c r="J159" s="586">
        <v>23430.213232016573</v>
      </c>
      <c r="K159" s="586">
        <v>24096.097122368352</v>
      </c>
      <c r="L159" s="586">
        <v>24883.997202655672</v>
      </c>
      <c r="M159" s="586">
        <v>25794.025348388051</v>
      </c>
      <c r="N159" s="586">
        <v>26856.99250627543</v>
      </c>
      <c r="O159" s="587">
        <v>28866.1959781107</v>
      </c>
      <c r="P159" s="167">
        <v>30192.944454634166</v>
      </c>
      <c r="Q159" s="167">
        <v>31593.102970664524</v>
      </c>
      <c r="R159" s="167">
        <v>33076.572331186602</v>
      </c>
      <c r="S159" s="167">
        <v>34607.342869488813</v>
      </c>
      <c r="T159" s="167">
        <v>36135.123905480883</v>
      </c>
      <c r="U159" s="167">
        <v>37667.85682021347</v>
      </c>
      <c r="V159" s="167">
        <v>39187.201244956836</v>
      </c>
      <c r="W159" s="167">
        <v>40827.506448699387</v>
      </c>
      <c r="X159" s="167">
        <v>40683.201960019112</v>
      </c>
      <c r="Y159"/>
      <c r="Z159"/>
      <c r="AA159"/>
      <c r="AB159"/>
      <c r="AC159"/>
      <c r="AD159"/>
      <c r="AE159"/>
      <c r="AF159"/>
      <c r="AG159"/>
    </row>
    <row r="160" spans="1:33" s="139" customFormat="1" ht="12.75" outlineLevel="1">
      <c r="A160" s="168" t="s">
        <v>34</v>
      </c>
      <c r="B160" s="581">
        <f>NPV(0.1,D160:Y160)</f>
        <v>82531.899071274529</v>
      </c>
      <c r="C160" s="581">
        <f>B160-B150</f>
        <v>-80.564617292126059</v>
      </c>
      <c r="D160" s="585">
        <v>507.32194445606638</v>
      </c>
      <c r="E160" s="586">
        <v>1309.1561075807813</v>
      </c>
      <c r="F160" s="586">
        <v>1389.5091544157012</v>
      </c>
      <c r="G160" s="586">
        <v>1445.0582400411381</v>
      </c>
      <c r="H160" s="586">
        <v>7026.8314599430223</v>
      </c>
      <c r="I160" s="586">
        <v>11819.869520068569</v>
      </c>
      <c r="J160" s="586">
        <v>12721.456043550781</v>
      </c>
      <c r="K160" s="586">
        <v>13237.000289092199</v>
      </c>
      <c r="L160" s="586">
        <v>13832.670139343389</v>
      </c>
      <c r="M160" s="586">
        <v>14459.108169765039</v>
      </c>
      <c r="N160" s="586">
        <v>15121.855366226377</v>
      </c>
      <c r="O160" s="587">
        <v>15277.785936483504</v>
      </c>
      <c r="P160" s="167">
        <v>16121.966200964282</v>
      </c>
      <c r="Q160" s="167">
        <v>17024.837869406383</v>
      </c>
      <c r="R160" s="167">
        <v>17838.7055299895</v>
      </c>
      <c r="S160" s="167">
        <v>18809.403120257928</v>
      </c>
      <c r="T160" s="167">
        <v>19212.644764251621</v>
      </c>
      <c r="U160" s="167">
        <v>19405.542488174367</v>
      </c>
      <c r="V160" s="167">
        <v>19583.434988267065</v>
      </c>
      <c r="W160" s="167">
        <v>19611.531509017132</v>
      </c>
      <c r="X160" s="167">
        <v>19867.398181107666</v>
      </c>
      <c r="Y160"/>
      <c r="Z160"/>
      <c r="AA160"/>
      <c r="AB160"/>
      <c r="AC160"/>
      <c r="AD160"/>
      <c r="AE160"/>
      <c r="AF160"/>
      <c r="AG160"/>
    </row>
    <row r="161" spans="1:33" s="139" customFormat="1" ht="12.75" outlineLevel="1">
      <c r="A161" s="168" t="s">
        <v>31</v>
      </c>
      <c r="B161" s="581">
        <f>NPV(0.1,D161:Y161)</f>
        <v>99085.068387175314</v>
      </c>
      <c r="C161" s="581">
        <f>B161-B151</f>
        <v>-50.204721011599759</v>
      </c>
      <c r="D161" s="588">
        <v>2833.1386812299429</v>
      </c>
      <c r="E161" s="589">
        <v>5509.6532306929967</v>
      </c>
      <c r="F161" s="589">
        <v>4968.2663077124598</v>
      </c>
      <c r="G161" s="589">
        <v>4926.856379843689</v>
      </c>
      <c r="H161" s="589">
        <v>14412.51680112197</v>
      </c>
      <c r="I161" s="589">
        <v>18511.96732832932</v>
      </c>
      <c r="J161" s="589">
        <v>12949.03998566299</v>
      </c>
      <c r="K161" s="589">
        <v>12816.903606226228</v>
      </c>
      <c r="L161" s="589">
        <v>12709.180789087241</v>
      </c>
      <c r="M161" s="589">
        <v>12589.849675404708</v>
      </c>
      <c r="N161" s="589">
        <v>12430.378036252057</v>
      </c>
      <c r="O161" s="590">
        <v>12816.94747838747</v>
      </c>
      <c r="P161" s="167">
        <v>11817.53933209595</v>
      </c>
      <c r="Q161" s="167">
        <v>11628.856583786646</v>
      </c>
      <c r="R161" s="167">
        <v>16362.668161966963</v>
      </c>
      <c r="S161" s="167">
        <v>23592.351881058723</v>
      </c>
      <c r="T161" s="167">
        <v>22284.02883297787</v>
      </c>
      <c r="U161" s="167">
        <v>22465.325395100353</v>
      </c>
      <c r="V161" s="167">
        <v>22647.941435055625</v>
      </c>
      <c r="W161" s="167">
        <v>22778.82445337102</v>
      </c>
      <c r="X161" s="167">
        <v>22761.756247686448</v>
      </c>
      <c r="Y161"/>
      <c r="Z161"/>
      <c r="AA161"/>
      <c r="AB161"/>
      <c r="AC161"/>
      <c r="AD161"/>
      <c r="AE161"/>
      <c r="AF161"/>
      <c r="AG161"/>
    </row>
    <row r="162" spans="1:33" s="139" customFormat="1" ht="12.75" outlineLevel="1">
      <c r="A162" s="163"/>
      <c r="B162" s="163"/>
      <c r="C162" s="163"/>
      <c r="D162"/>
      <c r="E162"/>
      <c r="F162"/>
      <c r="G162"/>
      <c r="H162"/>
      <c r="I162"/>
      <c r="J162"/>
      <c r="K162"/>
      <c r="L162"/>
      <c r="M162"/>
      <c r="N162"/>
      <c r="O162"/>
      <c r="P162"/>
      <c r="Q162"/>
      <c r="R162"/>
      <c r="S162"/>
      <c r="T162"/>
      <c r="U162"/>
      <c r="V162"/>
      <c r="W162"/>
      <c r="X162"/>
      <c r="Y162"/>
      <c r="Z162"/>
      <c r="AA162"/>
      <c r="AB162"/>
      <c r="AC162"/>
      <c r="AD162"/>
      <c r="AE162"/>
      <c r="AF162"/>
      <c r="AG162"/>
    </row>
    <row r="163" spans="1:33" s="139" customFormat="1" ht="12.75" outlineLevel="1">
      <c r="A163" s="169" t="s">
        <v>508</v>
      </c>
      <c r="B163" s="163"/>
      <c r="C163" s="163"/>
      <c r="D163"/>
      <c r="E163"/>
      <c r="F163"/>
      <c r="G163"/>
      <c r="H163"/>
      <c r="I163"/>
      <c r="J163"/>
      <c r="K163"/>
      <c r="L163"/>
      <c r="M163"/>
      <c r="N163"/>
      <c r="O163"/>
      <c r="P163"/>
      <c r="Q163"/>
      <c r="R163"/>
      <c r="S163"/>
      <c r="T163"/>
      <c r="U163"/>
      <c r="V163"/>
      <c r="W163"/>
      <c r="X163"/>
      <c r="Y163"/>
      <c r="Z163"/>
      <c r="AA163"/>
      <c r="AB163"/>
      <c r="AC163"/>
      <c r="AD163"/>
      <c r="AE163"/>
      <c r="AF163"/>
      <c r="AG163"/>
    </row>
    <row r="164" spans="1:33" s="139" customFormat="1" ht="12.75" outlineLevel="1">
      <c r="A164" s="416">
        <v>36248</v>
      </c>
      <c r="B164" s="163"/>
      <c r="C164" s="163"/>
      <c r="D164"/>
      <c r="E164"/>
      <c r="F164"/>
      <c r="G164"/>
      <c r="H164"/>
      <c r="I164"/>
      <c r="J164"/>
      <c r="K164"/>
      <c r="L164"/>
      <c r="M164"/>
      <c r="N164"/>
      <c r="O164"/>
      <c r="P164"/>
      <c r="Q164"/>
      <c r="R164"/>
      <c r="S164"/>
      <c r="T164"/>
      <c r="U164"/>
      <c r="V164"/>
      <c r="W164"/>
      <c r="X164"/>
      <c r="Y164"/>
      <c r="Z164"/>
      <c r="AA164"/>
      <c r="AB164"/>
      <c r="AC164"/>
      <c r="AD164"/>
      <c r="AE164"/>
      <c r="AF164"/>
      <c r="AG164"/>
    </row>
    <row r="165" spans="1:33" s="139" customFormat="1" ht="12.75" outlineLevel="1">
      <c r="A165" s="164" t="s">
        <v>427</v>
      </c>
      <c r="B165" s="172">
        <v>30312.22409304871</v>
      </c>
      <c r="C165" s="163" t="s">
        <v>534</v>
      </c>
      <c r="D165"/>
      <c r="E165"/>
      <c r="F165"/>
      <c r="G165"/>
      <c r="H165"/>
      <c r="I165"/>
      <c r="J165"/>
      <c r="K165"/>
      <c r="L165"/>
      <c r="M165"/>
      <c r="N165"/>
      <c r="O165"/>
      <c r="P165"/>
      <c r="Q165"/>
      <c r="R165"/>
      <c r="S165"/>
      <c r="T165"/>
      <c r="U165"/>
      <c r="V165"/>
      <c r="W165"/>
      <c r="X165"/>
      <c r="Y165"/>
      <c r="Z165"/>
      <c r="AA165"/>
      <c r="AB165"/>
      <c r="AC165"/>
      <c r="AD165"/>
      <c r="AE165"/>
      <c r="AF165"/>
      <c r="AG165"/>
    </row>
    <row r="166" spans="1:33" s="139" customFormat="1" ht="12.75" outlineLevel="1">
      <c r="A166" s="165" t="s">
        <v>428</v>
      </c>
      <c r="B166" s="173">
        <v>64938.890518042717</v>
      </c>
      <c r="C166" s="163"/>
      <c r="D166"/>
      <c r="E166"/>
      <c r="F166"/>
      <c r="G166"/>
      <c r="H166"/>
      <c r="I166"/>
      <c r="J166"/>
      <c r="K166"/>
      <c r="L166"/>
      <c r="M166"/>
      <c r="N166"/>
      <c r="O166"/>
      <c r="P166"/>
      <c r="Q166"/>
      <c r="R166"/>
      <c r="S166"/>
      <c r="T166"/>
      <c r="U166"/>
      <c r="V166"/>
      <c r="W166"/>
      <c r="X166"/>
      <c r="Y166"/>
      <c r="Z166"/>
      <c r="AA166"/>
      <c r="AB166"/>
      <c r="AC166"/>
      <c r="AD166"/>
      <c r="AE166"/>
      <c r="AF166"/>
      <c r="AG166"/>
    </row>
    <row r="167" spans="1:33" s="139" customFormat="1" ht="12.75" outlineLevel="1">
      <c r="A167" s="166" t="s">
        <v>429</v>
      </c>
      <c r="B167" s="580" t="s">
        <v>499</v>
      </c>
      <c r="C167" s="580" t="s">
        <v>500</v>
      </c>
      <c r="D167" s="582">
        <v>1999</v>
      </c>
      <c r="E167" s="583">
        <v>2000</v>
      </c>
      <c r="F167" s="583">
        <v>2001</v>
      </c>
      <c r="G167" s="583">
        <v>2002</v>
      </c>
      <c r="H167" s="583">
        <v>2003</v>
      </c>
      <c r="I167" s="583">
        <v>2004</v>
      </c>
      <c r="J167" s="583">
        <v>2005</v>
      </c>
      <c r="K167" s="583">
        <v>2006</v>
      </c>
      <c r="L167" s="583">
        <v>2007</v>
      </c>
      <c r="M167" s="583">
        <v>2008</v>
      </c>
      <c r="N167" s="583">
        <v>2009</v>
      </c>
      <c r="O167" s="584">
        <v>2010</v>
      </c>
      <c r="P167" s="171">
        <v>2011</v>
      </c>
      <c r="Q167" s="171">
        <v>2012</v>
      </c>
      <c r="R167" s="171">
        <v>2013</v>
      </c>
      <c r="S167" s="171">
        <v>2014</v>
      </c>
      <c r="T167" s="171">
        <v>2015</v>
      </c>
      <c r="U167" s="171">
        <v>2016</v>
      </c>
      <c r="V167" s="171">
        <v>2017</v>
      </c>
      <c r="W167" s="171">
        <v>2018</v>
      </c>
      <c r="X167" s="171">
        <v>2019</v>
      </c>
      <c r="Y167"/>
      <c r="Z167"/>
      <c r="AA167"/>
      <c r="AB167"/>
      <c r="AC167"/>
      <c r="AD167"/>
      <c r="AE167"/>
      <c r="AF167"/>
      <c r="AG167"/>
    </row>
    <row r="168" spans="1:33" s="139" customFormat="1" ht="12.75" outlineLevel="1">
      <c r="A168" s="166" t="s">
        <v>430</v>
      </c>
      <c r="B168" s="581">
        <f>NPV(0.1,D168:Y168)</f>
        <v>440714.40708929661</v>
      </c>
      <c r="C168" s="581">
        <f>B168-B158</f>
        <v>0</v>
      </c>
      <c r="D168" s="585">
        <v>26456.16517218751</v>
      </c>
      <c r="E168" s="586">
        <v>36622.816768205368</v>
      </c>
      <c r="F168" s="586">
        <v>36899.746726638754</v>
      </c>
      <c r="G168" s="586">
        <v>37130.460845427748</v>
      </c>
      <c r="H168" s="586">
        <v>46551.621850797776</v>
      </c>
      <c r="I168" s="586">
        <v>54368.336326315562</v>
      </c>
      <c r="J168" s="586">
        <v>55774.108175254165</v>
      </c>
      <c r="K168" s="586">
        <v>56836.434077905724</v>
      </c>
      <c r="L168" s="586">
        <v>58014.036281411987</v>
      </c>
      <c r="M168" s="586">
        <v>59306.280178476387</v>
      </c>
      <c r="N168" s="586">
        <v>60748.639046920085</v>
      </c>
      <c r="O168" s="587">
        <v>62343.69174515373</v>
      </c>
      <c r="P168" s="167">
        <v>64230.909919159676</v>
      </c>
      <c r="Q168" s="167">
        <v>66205.417394810589</v>
      </c>
      <c r="R168" s="167">
        <v>68260.193684227444</v>
      </c>
      <c r="S168" s="167">
        <v>70358.617934890586</v>
      </c>
      <c r="T168" s="167">
        <v>72482.439569493581</v>
      </c>
      <c r="U168" s="167">
        <v>74297.476797508541</v>
      </c>
      <c r="V168" s="167">
        <v>76073.923157972866</v>
      </c>
      <c r="W168" s="167">
        <v>77846.438412749994</v>
      </c>
      <c r="X168" s="167">
        <v>78083.622952683683</v>
      </c>
      <c r="Y168"/>
      <c r="Z168"/>
      <c r="AA168"/>
      <c r="AB168"/>
      <c r="AC168"/>
      <c r="AD168"/>
      <c r="AE168"/>
      <c r="AF168"/>
      <c r="AG168"/>
    </row>
    <row r="169" spans="1:33" s="139" customFormat="1" ht="12.75" outlineLevel="1">
      <c r="A169" s="168" t="s">
        <v>431</v>
      </c>
      <c r="B169" s="581">
        <f>NPV(0.1,D169:Y169)</f>
        <v>218232.23466634442</v>
      </c>
      <c r="C169" s="581">
        <f>B169-B159</f>
        <v>0</v>
      </c>
      <c r="D169" s="585">
        <v>17195.778210520843</v>
      </c>
      <c r="E169" s="586">
        <v>21345.471529664919</v>
      </c>
      <c r="F169" s="586">
        <v>21704.006872124402</v>
      </c>
      <c r="G169" s="586">
        <v>22019.101388679414</v>
      </c>
      <c r="H169" s="586">
        <v>22407.167140308193</v>
      </c>
      <c r="I169" s="586">
        <v>22877.503627440768</v>
      </c>
      <c r="J169" s="586">
        <v>23430.213232016573</v>
      </c>
      <c r="K169" s="586">
        <v>24096.097122368352</v>
      </c>
      <c r="L169" s="586">
        <v>24883.997202655672</v>
      </c>
      <c r="M169" s="586">
        <v>25794.025348388051</v>
      </c>
      <c r="N169" s="586">
        <v>26856.99250627543</v>
      </c>
      <c r="O169" s="587">
        <v>28866.1959781107</v>
      </c>
      <c r="P169" s="167">
        <v>30192.944454634166</v>
      </c>
      <c r="Q169" s="167">
        <v>31593.102970664524</v>
      </c>
      <c r="R169" s="167">
        <v>33076.572331186602</v>
      </c>
      <c r="S169" s="167">
        <v>34607.342869488813</v>
      </c>
      <c r="T169" s="167">
        <v>36135.123905480883</v>
      </c>
      <c r="U169" s="167">
        <v>37667.85682021347</v>
      </c>
      <c r="V169" s="167">
        <v>39187.201244956836</v>
      </c>
      <c r="W169" s="167">
        <v>40827.506448699387</v>
      </c>
      <c r="X169" s="167">
        <v>40683.201960019112</v>
      </c>
      <c r="Y169"/>
      <c r="Z169"/>
      <c r="AA169"/>
      <c r="AB169"/>
      <c r="AC169"/>
      <c r="AD169"/>
      <c r="AE169"/>
      <c r="AF169"/>
      <c r="AG169"/>
    </row>
    <row r="170" spans="1:33" s="139" customFormat="1" ht="12.75" outlineLevel="1">
      <c r="A170" s="168" t="s">
        <v>34</v>
      </c>
      <c r="B170" s="581">
        <f>NPV(0.1,D170:Y170)</f>
        <v>82251.852702524629</v>
      </c>
      <c r="C170" s="581">
        <f>B170-B160</f>
        <v>-280.04636874989956</v>
      </c>
      <c r="D170" s="585">
        <v>487.56834947757051</v>
      </c>
      <c r="E170" s="586">
        <v>1275.2928019033602</v>
      </c>
      <c r="F170" s="586">
        <v>1355.6458487382797</v>
      </c>
      <c r="G170" s="586">
        <v>1411.1949343637166</v>
      </c>
      <c r="H170" s="586">
        <v>6992.9681542655999</v>
      </c>
      <c r="I170" s="586">
        <v>11786.006214391149</v>
      </c>
      <c r="J170" s="586">
        <v>12687.59273787336</v>
      </c>
      <c r="K170" s="586">
        <v>13203.136983414777</v>
      </c>
      <c r="L170" s="586">
        <v>13798.806833665967</v>
      </c>
      <c r="M170" s="586">
        <v>14425.244864087615</v>
      </c>
      <c r="N170" s="586">
        <v>15087.992060548955</v>
      </c>
      <c r="O170" s="587">
        <v>15243.922630806082</v>
      </c>
      <c r="P170" s="167">
        <v>16088.102895286858</v>
      </c>
      <c r="Q170" s="167">
        <v>16990.97456372896</v>
      </c>
      <c r="R170" s="167">
        <v>17804.84222431208</v>
      </c>
      <c r="S170" s="167">
        <v>18775.539814580508</v>
      </c>
      <c r="T170" s="167">
        <v>19178.781458574202</v>
      </c>
      <c r="U170" s="167">
        <v>19371.679182496948</v>
      </c>
      <c r="V170" s="167">
        <v>19549.571682589645</v>
      </c>
      <c r="W170" s="167">
        <v>19577.668203339708</v>
      </c>
      <c r="X170" s="167">
        <v>19833.534875430247</v>
      </c>
      <c r="Y170"/>
      <c r="Z170"/>
      <c r="AA170"/>
      <c r="AB170"/>
      <c r="AC170"/>
      <c r="AD170"/>
      <c r="AE170"/>
      <c r="AF170"/>
      <c r="AG170"/>
    </row>
    <row r="171" spans="1:33" s="139" customFormat="1" ht="12.75" outlineLevel="1">
      <c r="A171" s="168" t="s">
        <v>31</v>
      </c>
      <c r="B171" s="581">
        <f>NPV(0.1,D171:Y171)</f>
        <v>99331.500106512307</v>
      </c>
      <c r="C171" s="581">
        <f>B171-B161</f>
        <v>246.43171933699341</v>
      </c>
      <c r="D171" s="588">
        <v>2833.1386812299429</v>
      </c>
      <c r="E171" s="589">
        <v>5505.8943256928787</v>
      </c>
      <c r="F171" s="589">
        <v>4964.5826637140353</v>
      </c>
      <c r="G171" s="589">
        <v>4923.248184999462</v>
      </c>
      <c r="H171" s="589">
        <v>14408.984244054825</v>
      </c>
      <c r="I171" s="589">
        <v>18771.260523280809</v>
      </c>
      <c r="J171" s="589">
        <v>12981.735439805783</v>
      </c>
      <c r="K171" s="589">
        <v>12849.760077276005</v>
      </c>
      <c r="L171" s="589">
        <v>12742.081991970832</v>
      </c>
      <c r="M171" s="589">
        <v>12622.912212819898</v>
      </c>
      <c r="N171" s="589">
        <v>12463.485623616012</v>
      </c>
      <c r="O171" s="590">
        <v>12850.216718889067</v>
      </c>
      <c r="P171" s="167">
        <v>11850.853941644202</v>
      </c>
      <c r="Q171" s="167">
        <v>11662.333166063037</v>
      </c>
      <c r="R171" s="167">
        <v>16396.190433373868</v>
      </c>
      <c r="S171" s="167">
        <v>23608.789466604885</v>
      </c>
      <c r="T171" s="167">
        <v>22283.355358179484</v>
      </c>
      <c r="U171" s="167">
        <v>22464.703157103395</v>
      </c>
      <c r="V171" s="167">
        <v>22647.370512956892</v>
      </c>
      <c r="W171" s="167">
        <v>22778.304926389443</v>
      </c>
      <c r="X171" s="167">
        <v>22761.288195163226</v>
      </c>
      <c r="Y171"/>
      <c r="Z171"/>
      <c r="AA171"/>
      <c r="AB171"/>
      <c r="AC171"/>
      <c r="AD171"/>
      <c r="AE171"/>
      <c r="AF171"/>
      <c r="AG171"/>
    </row>
    <row r="172" spans="1:33" s="139" customFormat="1" ht="12.75" outlineLevel="1">
      <c r="A172" s="163"/>
      <c r="B172" s="163"/>
      <c r="C172" s="163"/>
      <c r="D172"/>
      <c r="E172"/>
      <c r="F172"/>
      <c r="G172"/>
      <c r="H172"/>
      <c r="I172"/>
      <c r="J172"/>
      <c r="K172"/>
      <c r="L172"/>
      <c r="M172"/>
      <c r="N172"/>
      <c r="O172"/>
      <c r="P172"/>
      <c r="Q172"/>
      <c r="R172"/>
      <c r="S172"/>
      <c r="T172"/>
      <c r="U172"/>
      <c r="V172"/>
      <c r="W172"/>
      <c r="X172"/>
      <c r="Y172"/>
      <c r="Z172"/>
      <c r="AA172"/>
      <c r="AB172"/>
      <c r="AC172"/>
      <c r="AD172"/>
      <c r="AE172"/>
      <c r="AF172"/>
      <c r="AG172"/>
    </row>
    <row r="173" spans="1:33" s="139" customFormat="1" ht="12.75" outlineLevel="1">
      <c r="A173" s="169" t="s">
        <v>515</v>
      </c>
      <c r="B173" s="163"/>
      <c r="C173" s="163"/>
      <c r="D173"/>
      <c r="E173"/>
      <c r="F173"/>
      <c r="G173"/>
      <c r="H173"/>
      <c r="I173"/>
      <c r="J173"/>
      <c r="K173"/>
      <c r="L173"/>
      <c r="M173"/>
      <c r="N173"/>
      <c r="O173"/>
      <c r="P173"/>
      <c r="Q173"/>
      <c r="R173"/>
      <c r="S173"/>
      <c r="T173"/>
      <c r="U173"/>
      <c r="V173"/>
      <c r="W173"/>
      <c r="X173"/>
      <c r="Y173"/>
      <c r="Z173"/>
      <c r="AA173"/>
      <c r="AB173"/>
      <c r="AC173"/>
      <c r="AD173"/>
      <c r="AE173"/>
      <c r="AF173"/>
      <c r="AG173"/>
    </row>
    <row r="174" spans="1:33" s="139" customFormat="1" ht="12.75" outlineLevel="1">
      <c r="A174" s="416">
        <v>36248</v>
      </c>
      <c r="B174" s="163"/>
      <c r="C174" s="163"/>
      <c r="D174"/>
      <c r="E174"/>
      <c r="F174"/>
      <c r="G174"/>
      <c r="H174"/>
      <c r="I174"/>
      <c r="J174"/>
      <c r="K174"/>
      <c r="L174"/>
      <c r="M174"/>
      <c r="N174"/>
      <c r="O174"/>
      <c r="P174"/>
      <c r="Q174"/>
      <c r="R174"/>
      <c r="S174"/>
      <c r="T174"/>
      <c r="U174"/>
      <c r="V174"/>
      <c r="W174"/>
      <c r="X174"/>
      <c r="Y174"/>
      <c r="Z174"/>
      <c r="AA174"/>
      <c r="AB174"/>
      <c r="AC174"/>
      <c r="AD174"/>
      <c r="AE174"/>
      <c r="AF174"/>
      <c r="AG174"/>
    </row>
    <row r="175" spans="1:33" s="139" customFormat="1" ht="12.75" outlineLevel="1">
      <c r="A175" s="164" t="s">
        <v>427</v>
      </c>
      <c r="B175" s="172">
        <v>30210.492533271281</v>
      </c>
      <c r="C175" s="163" t="s">
        <v>534</v>
      </c>
      <c r="D175"/>
      <c r="E175"/>
      <c r="F175"/>
      <c r="G175"/>
      <c r="H175"/>
      <c r="I175"/>
      <c r="J175"/>
      <c r="K175"/>
      <c r="L175"/>
      <c r="M175"/>
      <c r="N175"/>
      <c r="O175"/>
      <c r="P175"/>
      <c r="Q175"/>
      <c r="R175"/>
      <c r="S175"/>
      <c r="T175"/>
      <c r="U175"/>
      <c r="V175"/>
      <c r="W175"/>
      <c r="X175"/>
      <c r="Y175"/>
      <c r="Z175"/>
      <c r="AA175"/>
      <c r="AB175"/>
      <c r="AC175"/>
      <c r="AD175"/>
      <c r="AE175"/>
      <c r="AF175"/>
      <c r="AG175"/>
    </row>
    <row r="176" spans="1:33" s="139" customFormat="1" ht="12.75" outlineLevel="1">
      <c r="A176" s="165" t="s">
        <v>428</v>
      </c>
      <c r="B176" s="173">
        <v>62697.087442226155</v>
      </c>
      <c r="C176" s="163"/>
      <c r="D176"/>
      <c r="E176"/>
      <c r="F176"/>
      <c r="G176"/>
      <c r="H176"/>
      <c r="I176"/>
      <c r="J176"/>
      <c r="K176"/>
      <c r="L176"/>
      <c r="M176"/>
      <c r="N176"/>
      <c r="O176"/>
      <c r="P176"/>
      <c r="Q176"/>
      <c r="R176"/>
      <c r="S176"/>
      <c r="T176"/>
      <c r="U176"/>
      <c r="V176"/>
      <c r="W176"/>
      <c r="X176"/>
      <c r="Y176"/>
      <c r="Z176"/>
      <c r="AA176"/>
      <c r="AB176"/>
      <c r="AC176"/>
      <c r="AD176"/>
      <c r="AE176"/>
      <c r="AF176"/>
      <c r="AG176"/>
    </row>
    <row r="177" spans="1:33" s="139" customFormat="1" ht="12.75" outlineLevel="1">
      <c r="A177" s="166" t="s">
        <v>429</v>
      </c>
      <c r="B177" s="580" t="s">
        <v>499</v>
      </c>
      <c r="C177" s="580" t="s">
        <v>500</v>
      </c>
      <c r="D177" s="582">
        <v>1999</v>
      </c>
      <c r="E177" s="583">
        <v>2000</v>
      </c>
      <c r="F177" s="583">
        <v>2001</v>
      </c>
      <c r="G177" s="583">
        <v>2002</v>
      </c>
      <c r="H177" s="583">
        <v>2003</v>
      </c>
      <c r="I177" s="583">
        <v>2004</v>
      </c>
      <c r="J177" s="583">
        <v>2005</v>
      </c>
      <c r="K177" s="583">
        <v>2006</v>
      </c>
      <c r="L177" s="583">
        <v>2007</v>
      </c>
      <c r="M177" s="583">
        <v>2008</v>
      </c>
      <c r="N177" s="583">
        <v>2009</v>
      </c>
      <c r="O177" s="584">
        <v>2010</v>
      </c>
      <c r="P177" s="171">
        <v>2011</v>
      </c>
      <c r="Q177" s="171">
        <v>2012</v>
      </c>
      <c r="R177" s="171">
        <v>2013</v>
      </c>
      <c r="S177" s="171">
        <v>2014</v>
      </c>
      <c r="T177" s="171">
        <v>2015</v>
      </c>
      <c r="U177" s="171">
        <v>2016</v>
      </c>
      <c r="V177" s="171">
        <v>2017</v>
      </c>
      <c r="W177" s="171">
        <v>2018</v>
      </c>
      <c r="X177" s="171">
        <v>2019</v>
      </c>
      <c r="Y177"/>
      <c r="Z177"/>
      <c r="AA177"/>
      <c r="AB177"/>
      <c r="AC177"/>
      <c r="AD177"/>
      <c r="AE177"/>
      <c r="AF177"/>
      <c r="AG177"/>
    </row>
    <row r="178" spans="1:33" s="139" customFormat="1" ht="12.75" outlineLevel="1">
      <c r="A178" s="166" t="s">
        <v>430</v>
      </c>
      <c r="B178" s="581">
        <f>NPV(0.1,D178:Y178)</f>
        <v>440714.40708929661</v>
      </c>
      <c r="C178" s="581">
        <f>B178-B168</f>
        <v>0</v>
      </c>
      <c r="D178" s="585">
        <v>26456.16517218751</v>
      </c>
      <c r="E178" s="586">
        <v>36622.816768205368</v>
      </c>
      <c r="F178" s="586">
        <v>36899.746726638754</v>
      </c>
      <c r="G178" s="586">
        <v>37130.460845427748</v>
      </c>
      <c r="H178" s="586">
        <v>46551.621850797776</v>
      </c>
      <c r="I178" s="586">
        <v>54368.336326315562</v>
      </c>
      <c r="J178" s="586">
        <v>55774.108175254165</v>
      </c>
      <c r="K178" s="586">
        <v>56836.434077905724</v>
      </c>
      <c r="L178" s="586">
        <v>58014.036281411987</v>
      </c>
      <c r="M178" s="586">
        <v>59306.280178476387</v>
      </c>
      <c r="N178" s="586">
        <v>60748.639046920085</v>
      </c>
      <c r="O178" s="587">
        <v>62343.69174515373</v>
      </c>
      <c r="P178" s="167">
        <v>64230.909919159676</v>
      </c>
      <c r="Q178" s="167">
        <v>66205.417394810589</v>
      </c>
      <c r="R178" s="167">
        <v>68260.193684227444</v>
      </c>
      <c r="S178" s="167">
        <v>70358.617934890586</v>
      </c>
      <c r="T178" s="167">
        <v>72482.439569493581</v>
      </c>
      <c r="U178" s="167">
        <v>74297.476797508541</v>
      </c>
      <c r="V178" s="167">
        <v>76073.923157972866</v>
      </c>
      <c r="W178" s="167">
        <v>77846.438412749994</v>
      </c>
      <c r="X178" s="167">
        <v>78083.622952683683</v>
      </c>
      <c r="Y178"/>
      <c r="Z178"/>
      <c r="AA178"/>
      <c r="AB178"/>
      <c r="AC178"/>
      <c r="AD178"/>
      <c r="AE178"/>
      <c r="AF178"/>
      <c r="AG178"/>
    </row>
    <row r="179" spans="1:33" s="139" customFormat="1" ht="12.75" outlineLevel="1">
      <c r="A179" s="168" t="s">
        <v>431</v>
      </c>
      <c r="B179" s="581">
        <f>NPV(0.1,D179:Y179)</f>
        <v>220465.77202036412</v>
      </c>
      <c r="C179" s="581">
        <f>B179-B169</f>
        <v>2233.5373540197033</v>
      </c>
      <c r="D179" s="585">
        <v>17579.173346632859</v>
      </c>
      <c r="E179" s="586">
        <v>21711.394494279797</v>
      </c>
      <c r="F179" s="586">
        <v>22053.7048937646</v>
      </c>
      <c r="G179" s="586">
        <v>22352.484620968979</v>
      </c>
      <c r="H179" s="586">
        <v>22715.578222068147</v>
      </c>
      <c r="I179" s="586">
        <v>23154.701084156128</v>
      </c>
      <c r="J179" s="586">
        <v>23690.63981858857</v>
      </c>
      <c r="K179" s="586">
        <v>24339.752257011642</v>
      </c>
      <c r="L179" s="586">
        <v>25110.895085998065</v>
      </c>
      <c r="M179" s="586">
        <v>26004.151779801738</v>
      </c>
      <c r="N179" s="586">
        <v>27050.375305230686</v>
      </c>
      <c r="O179" s="587">
        <v>29040.859830664947</v>
      </c>
      <c r="P179" s="167">
        <v>30351.014481997081</v>
      </c>
      <c r="Q179" s="167">
        <v>31734.605828735686</v>
      </c>
      <c r="R179" s="167">
        <v>33189.096035365554</v>
      </c>
      <c r="S179" s="167">
        <v>34707.600012430739</v>
      </c>
      <c r="T179" s="167">
        <v>36227.454829889713</v>
      </c>
      <c r="U179" s="167">
        <v>37752.302382616595</v>
      </c>
      <c r="V179" s="167">
        <v>39263.761445354248</v>
      </c>
      <c r="W179" s="167">
        <v>40895.936147926746</v>
      </c>
      <c r="X179" s="167">
        <v>40744.195719042065</v>
      </c>
      <c r="Y179"/>
      <c r="Z179"/>
      <c r="AA179"/>
      <c r="AB179"/>
      <c r="AC179"/>
      <c r="AD179"/>
      <c r="AE179"/>
      <c r="AF179"/>
      <c r="AG179"/>
    </row>
    <row r="180" spans="1:33" s="139" customFormat="1" ht="12.75" outlineLevel="1">
      <c r="A180" s="168" t="s">
        <v>34</v>
      </c>
      <c r="B180" s="581">
        <f>NPV(0.1,D180:Y180)</f>
        <v>81070.008261955169</v>
      </c>
      <c r="C180" s="581">
        <f>B180-B170</f>
        <v>-1181.8444405694609</v>
      </c>
      <c r="D180" s="585">
        <v>285.45625625613252</v>
      </c>
      <c r="E180" s="586">
        <v>1099.3141254200657</v>
      </c>
      <c r="F180" s="586">
        <v>1182.1476362526425</v>
      </c>
      <c r="G180" s="586">
        <v>1240.1660803302939</v>
      </c>
      <c r="H180" s="586">
        <v>6830.6712076710492</v>
      </c>
      <c r="I180" s="586">
        <v>11639.412378914212</v>
      </c>
      <c r="J180" s="586">
        <v>12548.114689405618</v>
      </c>
      <c r="K180" s="586">
        <v>13070.847255578365</v>
      </c>
      <c r="L180" s="586">
        <v>13673.77461738855</v>
      </c>
      <c r="M180" s="586">
        <v>14307.562844253034</v>
      </c>
      <c r="N180" s="586">
        <v>14977.733968514569</v>
      </c>
      <c r="O180" s="587">
        <v>15142.405855889378</v>
      </c>
      <c r="P180" s="167">
        <v>15994.159650938956</v>
      </c>
      <c r="Q180" s="167">
        <v>16904.702431398699</v>
      </c>
      <c r="R180" s="167">
        <v>17737.417604013594</v>
      </c>
      <c r="S180" s="167">
        <v>18713.63102881387</v>
      </c>
      <c r="T180" s="167">
        <v>19121.76711275175</v>
      </c>
      <c r="U180" s="167">
        <v>19319.534047713016</v>
      </c>
      <c r="V180" s="167">
        <v>19502.295758844244</v>
      </c>
      <c r="W180" s="167">
        <v>19535.412864066817</v>
      </c>
      <c r="X180" s="167">
        <v>19795.871229233573</v>
      </c>
      <c r="Y180"/>
      <c r="Z180"/>
      <c r="AA180"/>
      <c r="AB180"/>
      <c r="AC180"/>
      <c r="AD180"/>
      <c r="AE180"/>
      <c r="AF180"/>
      <c r="AG180"/>
    </row>
    <row r="181" spans="1:33" s="139" customFormat="1" ht="12.75">
      <c r="A181" s="168" t="s">
        <v>31</v>
      </c>
      <c r="B181" s="581">
        <f>NPV(0.1,D181:Y181)</f>
        <v>100447.58790744741</v>
      </c>
      <c r="C181" s="581">
        <f>B181-B171</f>
        <v>1116.0878009350999</v>
      </c>
      <c r="D181" s="588">
        <v>3100.0884765855553</v>
      </c>
      <c r="E181" s="589">
        <v>5762.8131192503879</v>
      </c>
      <c r="F181" s="589">
        <v>5210.1260374121593</v>
      </c>
      <c r="G181" s="589">
        <v>5158.6551980215499</v>
      </c>
      <c r="H181" s="589">
        <v>14554.772769395633</v>
      </c>
      <c r="I181" s="589">
        <v>18727.886409251449</v>
      </c>
      <c r="J181" s="589">
        <v>13079.795434445463</v>
      </c>
      <c r="K181" s="589">
        <v>12943.341944082069</v>
      </c>
      <c r="L181" s="589">
        <v>12831.118418320943</v>
      </c>
      <c r="M181" s="589">
        <v>12707.347477452076</v>
      </c>
      <c r="N181" s="589">
        <v>12543.232985334504</v>
      </c>
      <c r="O181" s="590">
        <v>12925.646863295147</v>
      </c>
      <c r="P181" s="167">
        <v>11920.179761165686</v>
      </c>
      <c r="Q181" s="167">
        <v>11726.772932924676</v>
      </c>
      <c r="R181" s="167">
        <v>16339.783735394232</v>
      </c>
      <c r="S181" s="167">
        <v>23620.255523622574</v>
      </c>
      <c r="T181" s="167">
        <v>22292.254525991048</v>
      </c>
      <c r="U181" s="167">
        <v>22473.678849995966</v>
      </c>
      <c r="V181" s="167">
        <v>22656.44056112719</v>
      </c>
      <c r="W181" s="167">
        <v>22787.613332087869</v>
      </c>
      <c r="X181" s="167">
        <v>22770.247310996667</v>
      </c>
      <c r="Y181"/>
      <c r="Z181"/>
      <c r="AA181"/>
      <c r="AB181"/>
      <c r="AC181"/>
      <c r="AD181"/>
      <c r="AE181"/>
      <c r="AF181"/>
      <c r="AG181"/>
    </row>
    <row r="182" spans="1:33" ht="12.75">
      <c r="A182" s="163"/>
      <c r="B182" s="163"/>
      <c r="C182" s="163"/>
      <c r="D182"/>
      <c r="E182"/>
      <c r="F182"/>
      <c r="G182"/>
      <c r="H182"/>
      <c r="I182"/>
      <c r="J182"/>
      <c r="K182"/>
      <c r="L182"/>
      <c r="M182"/>
      <c r="N182"/>
      <c r="O182"/>
      <c r="P182"/>
      <c r="Q182"/>
      <c r="R182"/>
      <c r="S182"/>
      <c r="T182"/>
      <c r="U182"/>
      <c r="V182"/>
      <c r="W182"/>
      <c r="X182"/>
      <c r="Y182"/>
      <c r="Z182"/>
      <c r="AA182"/>
      <c r="AB182"/>
      <c r="AC182"/>
      <c r="AD182"/>
      <c r="AE182"/>
      <c r="AF182"/>
      <c r="AG182"/>
    </row>
    <row r="183" spans="1:33" ht="12.75">
      <c r="A183" s="169" t="s">
        <v>518</v>
      </c>
      <c r="B183" s="163"/>
      <c r="C183" s="163"/>
      <c r="D183"/>
      <c r="E183"/>
      <c r="F183"/>
      <c r="G183"/>
      <c r="H183"/>
      <c r="I183"/>
      <c r="J183"/>
      <c r="K183"/>
      <c r="L183"/>
      <c r="M183"/>
      <c r="N183"/>
      <c r="O183"/>
      <c r="P183"/>
      <c r="Q183"/>
      <c r="R183"/>
      <c r="S183"/>
      <c r="T183"/>
      <c r="U183"/>
      <c r="V183"/>
      <c r="W183"/>
      <c r="X183"/>
      <c r="Y183"/>
      <c r="Z183"/>
      <c r="AA183"/>
      <c r="AB183"/>
      <c r="AC183"/>
      <c r="AD183"/>
      <c r="AE183"/>
      <c r="AF183"/>
      <c r="AG183"/>
    </row>
    <row r="184" spans="1:33" ht="12.75">
      <c r="A184" s="416">
        <v>36250</v>
      </c>
      <c r="B184" s="163"/>
      <c r="C184" s="163"/>
      <c r="D184"/>
      <c r="E184"/>
      <c r="F184"/>
      <c r="G184"/>
      <c r="H184"/>
      <c r="I184"/>
      <c r="J184"/>
      <c r="K184"/>
      <c r="L184"/>
      <c r="M184"/>
      <c r="N184"/>
      <c r="O184"/>
      <c r="P184"/>
      <c r="Q184"/>
      <c r="R184"/>
      <c r="S184"/>
      <c r="T184"/>
      <c r="U184"/>
      <c r="V184"/>
      <c r="W184"/>
      <c r="X184"/>
      <c r="Y184"/>
      <c r="Z184"/>
      <c r="AA184"/>
      <c r="AB184"/>
      <c r="AC184"/>
      <c r="AD184"/>
      <c r="AE184"/>
      <c r="AF184"/>
      <c r="AG184"/>
    </row>
    <row r="185" spans="1:33" ht="12.75">
      <c r="A185" s="164" t="s">
        <v>427</v>
      </c>
      <c r="B185" s="172">
        <v>29937.919795937392</v>
      </c>
      <c r="C185" s="163" t="s">
        <v>534</v>
      </c>
      <c r="D185"/>
      <c r="E185"/>
      <c r="F185"/>
      <c r="G185"/>
      <c r="H185"/>
      <c r="I185"/>
      <c r="J185"/>
      <c r="K185"/>
      <c r="L185"/>
      <c r="M185"/>
      <c r="N185"/>
      <c r="O185"/>
      <c r="P185"/>
      <c r="Q185"/>
      <c r="R185"/>
      <c r="S185"/>
      <c r="T185"/>
      <c r="U185"/>
      <c r="V185"/>
      <c r="W185"/>
      <c r="X185"/>
      <c r="Y185"/>
      <c r="Z185"/>
      <c r="AA185"/>
      <c r="AB185"/>
      <c r="AC185"/>
      <c r="AD185"/>
      <c r="AE185"/>
      <c r="AF185"/>
      <c r="AG185"/>
    </row>
    <row r="186" spans="1:33" ht="12.75">
      <c r="A186" s="165" t="s">
        <v>428</v>
      </c>
      <c r="B186" s="173">
        <v>62375.378935952715</v>
      </c>
      <c r="C186" s="163"/>
      <c r="D186"/>
      <c r="E186"/>
      <c r="F186"/>
      <c r="G186"/>
      <c r="H186"/>
      <c r="I186"/>
      <c r="J186"/>
      <c r="K186"/>
      <c r="L186"/>
      <c r="M186"/>
      <c r="N186"/>
      <c r="O186"/>
      <c r="P186"/>
      <c r="Q186"/>
      <c r="R186"/>
      <c r="S186"/>
      <c r="T186"/>
      <c r="U186"/>
      <c r="V186"/>
      <c r="W186"/>
      <c r="X186"/>
      <c r="Y186"/>
      <c r="Z186"/>
      <c r="AA186"/>
      <c r="AB186"/>
      <c r="AC186"/>
      <c r="AD186"/>
      <c r="AE186"/>
      <c r="AF186"/>
      <c r="AG186"/>
    </row>
    <row r="187" spans="1:33" ht="12.75">
      <c r="A187" s="166" t="s">
        <v>429</v>
      </c>
      <c r="B187" s="580" t="s">
        <v>499</v>
      </c>
      <c r="C187" s="580" t="s">
        <v>500</v>
      </c>
      <c r="D187" s="582">
        <v>1999</v>
      </c>
      <c r="E187" s="583">
        <v>2000</v>
      </c>
      <c r="F187" s="583">
        <v>2001</v>
      </c>
      <c r="G187" s="583">
        <v>2002</v>
      </c>
      <c r="H187" s="583">
        <v>2003</v>
      </c>
      <c r="I187" s="583">
        <v>2004</v>
      </c>
      <c r="J187" s="583">
        <v>2005</v>
      </c>
      <c r="K187" s="583">
        <v>2006</v>
      </c>
      <c r="L187" s="583">
        <v>2007</v>
      </c>
      <c r="M187" s="583">
        <v>2008</v>
      </c>
      <c r="N187" s="583">
        <v>2009</v>
      </c>
      <c r="O187" s="584">
        <v>2010</v>
      </c>
      <c r="P187" s="171">
        <v>2011</v>
      </c>
      <c r="Q187" s="171">
        <v>2012</v>
      </c>
      <c r="R187" s="171">
        <v>2013</v>
      </c>
      <c r="S187" s="171">
        <v>2014</v>
      </c>
      <c r="T187" s="171">
        <v>2015</v>
      </c>
      <c r="U187" s="171">
        <v>2016</v>
      </c>
      <c r="V187" s="171">
        <v>2017</v>
      </c>
      <c r="W187" s="171">
        <v>2018</v>
      </c>
      <c r="X187" s="171">
        <v>2019</v>
      </c>
      <c r="Y187"/>
      <c r="Z187"/>
      <c r="AA187"/>
      <c r="AB187"/>
      <c r="AC187"/>
      <c r="AD187"/>
      <c r="AE187"/>
      <c r="AF187"/>
      <c r="AG187"/>
    </row>
    <row r="188" spans="1:33" ht="12.75">
      <c r="A188" s="166" t="s">
        <v>430</v>
      </c>
      <c r="B188" s="581">
        <f>NPV(0.1,D188:Y188)</f>
        <v>440714.40708929661</v>
      </c>
      <c r="C188" s="581">
        <f>B188-B178</f>
        <v>0</v>
      </c>
      <c r="D188" s="585">
        <v>26456.16517218751</v>
      </c>
      <c r="E188" s="586">
        <v>36622.816768205368</v>
      </c>
      <c r="F188" s="586">
        <v>36899.746726638754</v>
      </c>
      <c r="G188" s="586">
        <v>37130.460845427748</v>
      </c>
      <c r="H188" s="586">
        <v>46551.621850797776</v>
      </c>
      <c r="I188" s="586">
        <v>54368.336326315562</v>
      </c>
      <c r="J188" s="586">
        <v>55774.108175254165</v>
      </c>
      <c r="K188" s="586">
        <v>56836.434077905724</v>
      </c>
      <c r="L188" s="586">
        <v>58014.036281411987</v>
      </c>
      <c r="M188" s="586">
        <v>59306.280178476387</v>
      </c>
      <c r="N188" s="586">
        <v>60748.639046920085</v>
      </c>
      <c r="O188" s="587">
        <v>62343.69174515373</v>
      </c>
      <c r="P188" s="167">
        <v>64230.909919159676</v>
      </c>
      <c r="Q188" s="167">
        <v>66205.417394810589</v>
      </c>
      <c r="R188" s="167">
        <v>68260.193684227444</v>
      </c>
      <c r="S188" s="167">
        <v>70358.617934890586</v>
      </c>
      <c r="T188" s="167">
        <v>72482.439569493581</v>
      </c>
      <c r="U188" s="167">
        <v>74297.476797508541</v>
      </c>
      <c r="V188" s="167">
        <v>76073.923157972866</v>
      </c>
      <c r="W188" s="167">
        <v>77846.438412749994</v>
      </c>
      <c r="X188" s="167">
        <v>78083.622952683683</v>
      </c>
      <c r="Y188"/>
      <c r="Z188"/>
      <c r="AA188"/>
      <c r="AB188"/>
      <c r="AC188"/>
      <c r="AD188"/>
      <c r="AE188"/>
      <c r="AF188"/>
      <c r="AG188"/>
    </row>
    <row r="189" spans="1:33" ht="12.75">
      <c r="A189" s="168" t="s">
        <v>431</v>
      </c>
      <c r="B189" s="581">
        <f>NPV(0.1,D189:Y189)</f>
        <v>220469.23658590423</v>
      </c>
      <c r="C189" s="581">
        <f>B189-B179</f>
        <v>3.4645655401109252</v>
      </c>
      <c r="D189" s="585">
        <v>17579.915181945606</v>
      </c>
      <c r="E189" s="586">
        <v>21712.102241815763</v>
      </c>
      <c r="F189" s="586">
        <v>22054.378545451811</v>
      </c>
      <c r="G189" s="586">
        <v>22353.124168944647</v>
      </c>
      <c r="H189" s="586">
        <v>22716.183656745627</v>
      </c>
      <c r="I189" s="586">
        <v>23155.148399064306</v>
      </c>
      <c r="J189" s="586">
        <v>23691.032952135767</v>
      </c>
      <c r="K189" s="586">
        <v>24340.091217527915</v>
      </c>
      <c r="L189" s="586">
        <v>25111.179865153357</v>
      </c>
      <c r="M189" s="586">
        <v>26004.382385926107</v>
      </c>
      <c r="N189" s="586">
        <v>27050.551729994066</v>
      </c>
      <c r="O189" s="587">
        <v>29040.982082397408</v>
      </c>
      <c r="P189" s="167">
        <v>30351.082552368556</v>
      </c>
      <c r="Q189" s="167">
        <v>31734.619726076238</v>
      </c>
      <c r="R189" s="167">
        <v>33189.056341134732</v>
      </c>
      <c r="S189" s="167">
        <v>34707.540976248492</v>
      </c>
      <c r="T189" s="167">
        <v>36227.400634943362</v>
      </c>
      <c r="U189" s="167">
        <v>37752.253028906147</v>
      </c>
      <c r="V189" s="167">
        <v>39263.71693287971</v>
      </c>
      <c r="W189" s="167">
        <v>40895.896476688111</v>
      </c>
      <c r="X189" s="167">
        <v>40744.160889039325</v>
      </c>
      <c r="Y189"/>
      <c r="Z189"/>
      <c r="AA189"/>
      <c r="AB189"/>
      <c r="AC189"/>
      <c r="AD189"/>
      <c r="AE189"/>
      <c r="AF189"/>
      <c r="AG189"/>
    </row>
    <row r="190" spans="1:33" ht="12.75">
      <c r="A190" s="168" t="s">
        <v>34</v>
      </c>
      <c r="B190" s="581">
        <f>NPV(0.1,D190:Y190)</f>
        <v>80956.394849264907</v>
      </c>
      <c r="C190" s="581">
        <f>B190-B180</f>
        <v>-113.61341269026161</v>
      </c>
      <c r="D190" s="585">
        <v>263.58600081724649</v>
      </c>
      <c r="E190" s="586">
        <v>1085.1014558601723</v>
      </c>
      <c r="F190" s="586">
        <v>1167.9401791786545</v>
      </c>
      <c r="G190" s="586">
        <v>1225.9637006653204</v>
      </c>
      <c r="H190" s="586">
        <v>6816.4750186002511</v>
      </c>
      <c r="I190" s="586">
        <v>11625.305085357864</v>
      </c>
      <c r="J190" s="586">
        <v>12534.034534367775</v>
      </c>
      <c r="K190" s="586">
        <v>13056.794799061157</v>
      </c>
      <c r="L190" s="586">
        <v>13659.750474728806</v>
      </c>
      <c r="M190" s="586">
        <v>14293.567669479999</v>
      </c>
      <c r="N190" s="586">
        <v>14963.768478514352</v>
      </c>
      <c r="O190" s="587">
        <v>15128.470814364458</v>
      </c>
      <c r="P190" s="167">
        <v>15980.255893222529</v>
      </c>
      <c r="Q190" s="167">
        <v>16890.830849116086</v>
      </c>
      <c r="R190" s="167">
        <v>17723.585361971156</v>
      </c>
      <c r="S190" s="167">
        <v>18709.023760794953</v>
      </c>
      <c r="T190" s="167">
        <v>19123.737072491887</v>
      </c>
      <c r="U190" s="167">
        <v>19321.501017989987</v>
      </c>
      <c r="V190" s="167">
        <v>19504.259739658039</v>
      </c>
      <c r="W190" s="167">
        <v>19537.373855417442</v>
      </c>
      <c r="X190" s="167">
        <v>19797.829231121032</v>
      </c>
      <c r="Y190"/>
      <c r="Z190"/>
      <c r="AA190"/>
      <c r="AB190"/>
      <c r="AC190"/>
      <c r="AD190"/>
      <c r="AE190"/>
      <c r="AF190"/>
      <c r="AG190"/>
    </row>
    <row r="191" spans="1:33" ht="12.75">
      <c r="A191" s="168" t="s">
        <v>31</v>
      </c>
      <c r="B191" s="581">
        <f>NPV(0.1,D191:Y191)</f>
        <v>100500.26571931681</v>
      </c>
      <c r="C191" s="581">
        <f>B191-B181</f>
        <v>52.677811869405559</v>
      </c>
      <c r="D191" s="588">
        <v>3099.8350053570321</v>
      </c>
      <c r="E191" s="589">
        <v>5762.5665871920264</v>
      </c>
      <c r="F191" s="589">
        <v>5209.8908706367165</v>
      </c>
      <c r="G191" s="589">
        <v>5158.4313991499548</v>
      </c>
      <c r="H191" s="589">
        <v>14554.398892376104</v>
      </c>
      <c r="I191" s="589">
        <v>18777.154927704054</v>
      </c>
      <c r="J191" s="589">
        <v>13087.504287889631</v>
      </c>
      <c r="K191" s="589">
        <v>12951.062811936852</v>
      </c>
      <c r="L191" s="589">
        <v>12838.857588473729</v>
      </c>
      <c r="M191" s="589">
        <v>12715.097875728006</v>
      </c>
      <c r="N191" s="589">
        <v>12551.000836717962</v>
      </c>
      <c r="O191" s="590">
        <v>12933.425025676006</v>
      </c>
      <c r="P191" s="167">
        <v>11927.974386158296</v>
      </c>
      <c r="Q191" s="167">
        <v>11734.576799179245</v>
      </c>
      <c r="R191" s="167">
        <v>16347.37342033327</v>
      </c>
      <c r="S191" s="167">
        <v>23623.38503617571</v>
      </c>
      <c r="T191" s="167">
        <v>22292.28799137042</v>
      </c>
      <c r="U191" s="167">
        <v>22473.709325912168</v>
      </c>
      <c r="V191" s="167">
        <v>22656.46804758022</v>
      </c>
      <c r="W191" s="167">
        <v>22787.637829077721</v>
      </c>
      <c r="X191" s="167">
        <v>22770.26881852336</v>
      </c>
      <c r="Y191"/>
      <c r="Z191"/>
      <c r="AA191"/>
      <c r="AB191"/>
      <c r="AC191"/>
      <c r="AD191"/>
      <c r="AE191"/>
      <c r="AF191"/>
      <c r="AG191"/>
    </row>
    <row r="192" spans="1:33" ht="12.75">
      <c r="A192" s="163"/>
      <c r="B192" s="163"/>
      <c r="C192" s="163"/>
      <c r="D192"/>
      <c r="E192"/>
      <c r="F192"/>
      <c r="G192"/>
      <c r="H192"/>
      <c r="I192"/>
      <c r="J192"/>
      <c r="K192"/>
      <c r="L192"/>
      <c r="M192"/>
      <c r="N192"/>
      <c r="O192"/>
      <c r="P192"/>
      <c r="Q192"/>
      <c r="R192"/>
      <c r="S192"/>
      <c r="T192"/>
      <c r="U192"/>
      <c r="V192"/>
      <c r="W192"/>
      <c r="X192"/>
      <c r="Y192"/>
      <c r="Z192"/>
      <c r="AA192"/>
      <c r="AB192"/>
      <c r="AC192"/>
      <c r="AD192"/>
      <c r="AE192"/>
      <c r="AF192"/>
      <c r="AG192"/>
    </row>
    <row r="193" spans="1:33" ht="12.75">
      <c r="A193" s="169" t="s">
        <v>535</v>
      </c>
      <c r="B193" s="163"/>
      <c r="C193" s="163"/>
      <c r="D193"/>
      <c r="E193"/>
      <c r="F193"/>
      <c r="G193"/>
      <c r="H193"/>
      <c r="I193"/>
      <c r="J193"/>
      <c r="K193"/>
      <c r="L193"/>
      <c r="M193"/>
      <c r="N193"/>
      <c r="O193"/>
      <c r="P193"/>
      <c r="Q193"/>
      <c r="R193"/>
      <c r="S193"/>
      <c r="T193"/>
      <c r="U193"/>
      <c r="V193"/>
      <c r="W193"/>
      <c r="X193"/>
      <c r="Y193"/>
      <c r="Z193"/>
      <c r="AA193"/>
      <c r="AB193"/>
      <c r="AC193"/>
      <c r="AD193"/>
      <c r="AE193"/>
      <c r="AF193"/>
      <c r="AG193"/>
    </row>
    <row r="194" spans="1:33" ht="12.75">
      <c r="A194" s="416">
        <v>36257</v>
      </c>
      <c r="B194" s="163"/>
      <c r="C194" s="163"/>
      <c r="D194"/>
      <c r="E194"/>
      <c r="F194"/>
      <c r="G194"/>
      <c r="H194"/>
      <c r="I194"/>
      <c r="J194"/>
      <c r="K194"/>
      <c r="L194"/>
      <c r="M194"/>
      <c r="N194"/>
      <c r="O194"/>
      <c r="P194"/>
      <c r="Q194"/>
      <c r="R194"/>
      <c r="S194"/>
      <c r="T194"/>
      <c r="U194"/>
      <c r="V194"/>
      <c r="W194"/>
      <c r="X194"/>
      <c r="Y194"/>
      <c r="Z194"/>
      <c r="AA194"/>
      <c r="AB194"/>
      <c r="AC194"/>
      <c r="AD194"/>
      <c r="AE194"/>
      <c r="AF194"/>
      <c r="AG194"/>
    </row>
    <row r="195" spans="1:33" ht="9.75" customHeight="1" outlineLevel="1">
      <c r="A195" s="164" t="s">
        <v>427</v>
      </c>
      <c r="B195" s="172">
        <v>29837.570550578352</v>
      </c>
      <c r="C195" s="163" t="s">
        <v>534</v>
      </c>
      <c r="D195"/>
      <c r="E195"/>
      <c r="F195"/>
      <c r="G195"/>
      <c r="H195"/>
      <c r="I195"/>
      <c r="J195"/>
      <c r="K195"/>
      <c r="L195"/>
      <c r="M195"/>
      <c r="N195"/>
      <c r="O195"/>
      <c r="P195"/>
      <c r="Q195"/>
      <c r="R195"/>
      <c r="S195"/>
      <c r="T195"/>
      <c r="U195"/>
      <c r="V195"/>
      <c r="W195"/>
      <c r="X195"/>
      <c r="Y195"/>
      <c r="Z195"/>
      <c r="AA195"/>
      <c r="AB195"/>
      <c r="AC195"/>
      <c r="AD195"/>
      <c r="AE195"/>
      <c r="AF195"/>
      <c r="AG195"/>
    </row>
    <row r="196" spans="1:33" ht="12.75" outlineLevel="1">
      <c r="A196" s="165" t="s">
        <v>428</v>
      </c>
      <c r="B196" s="173">
        <v>62285.101736065932</v>
      </c>
      <c r="C196" s="163"/>
      <c r="D196"/>
      <c r="E196"/>
      <c r="F196"/>
      <c r="G196"/>
      <c r="H196"/>
      <c r="I196"/>
      <c r="J196"/>
      <c r="K196"/>
      <c r="L196"/>
      <c r="M196"/>
      <c r="N196"/>
      <c r="O196"/>
      <c r="P196"/>
      <c r="Q196"/>
      <c r="R196"/>
      <c r="S196"/>
      <c r="T196"/>
      <c r="U196"/>
      <c r="V196"/>
      <c r="W196"/>
      <c r="X196"/>
      <c r="Y196"/>
      <c r="Z196"/>
      <c r="AA196"/>
      <c r="AB196"/>
      <c r="AC196"/>
      <c r="AD196"/>
      <c r="AE196"/>
      <c r="AF196"/>
      <c r="AG196"/>
    </row>
    <row r="197" spans="1:33" ht="12.75" outlineLevel="1">
      <c r="A197" s="166" t="s">
        <v>429</v>
      </c>
      <c r="B197" s="580" t="s">
        <v>499</v>
      </c>
      <c r="C197" s="580" t="s">
        <v>500</v>
      </c>
      <c r="D197" s="582">
        <v>1999</v>
      </c>
      <c r="E197" s="583">
        <v>2000</v>
      </c>
      <c r="F197" s="583">
        <v>2001</v>
      </c>
      <c r="G197" s="583">
        <v>2002</v>
      </c>
      <c r="H197" s="583">
        <v>2003</v>
      </c>
      <c r="I197" s="583">
        <v>2004</v>
      </c>
      <c r="J197" s="583">
        <v>2005</v>
      </c>
      <c r="K197" s="583">
        <v>2006</v>
      </c>
      <c r="L197" s="583">
        <v>2007</v>
      </c>
      <c r="M197" s="583">
        <v>2008</v>
      </c>
      <c r="N197" s="583">
        <v>2009</v>
      </c>
      <c r="O197" s="584">
        <v>2010</v>
      </c>
      <c r="P197" s="171">
        <v>2011</v>
      </c>
      <c r="Q197" s="171">
        <v>2012</v>
      </c>
      <c r="R197" s="171">
        <v>2013</v>
      </c>
      <c r="S197" s="171">
        <v>2014</v>
      </c>
      <c r="T197" s="171">
        <v>2015</v>
      </c>
      <c r="U197" s="171">
        <v>2016</v>
      </c>
      <c r="V197" s="171">
        <v>2017</v>
      </c>
      <c r="W197" s="171">
        <v>2018</v>
      </c>
      <c r="X197" s="171">
        <v>2019</v>
      </c>
      <c r="Y197"/>
      <c r="Z197"/>
      <c r="AA197"/>
      <c r="AB197"/>
      <c r="AC197"/>
      <c r="AD197"/>
      <c r="AE197"/>
      <c r="AF197"/>
      <c r="AG197"/>
    </row>
    <row r="198" spans="1:33" ht="12.75" outlineLevel="1">
      <c r="A198" s="166" t="s">
        <v>430</v>
      </c>
      <c r="B198" s="581">
        <f>NPV(0.1,D198:Y198)</f>
        <v>440714.40708929661</v>
      </c>
      <c r="C198" s="581">
        <f>B198-B188</f>
        <v>0</v>
      </c>
      <c r="D198" s="585">
        <v>26456.16517218751</v>
      </c>
      <c r="E198" s="586">
        <v>36622.816768205368</v>
      </c>
      <c r="F198" s="586">
        <v>36899.746726638754</v>
      </c>
      <c r="G198" s="586">
        <v>37130.460845427748</v>
      </c>
      <c r="H198" s="586">
        <v>46551.621850797776</v>
      </c>
      <c r="I198" s="586">
        <v>54368.336326315562</v>
      </c>
      <c r="J198" s="586">
        <v>55774.108175254165</v>
      </c>
      <c r="K198" s="586">
        <v>56836.434077905724</v>
      </c>
      <c r="L198" s="586">
        <v>58014.036281411987</v>
      </c>
      <c r="M198" s="586">
        <v>59306.280178476387</v>
      </c>
      <c r="N198" s="586">
        <v>60748.639046920085</v>
      </c>
      <c r="O198" s="587">
        <v>62343.69174515373</v>
      </c>
      <c r="P198" s="167">
        <v>64230.909919159676</v>
      </c>
      <c r="Q198" s="167">
        <v>66205.417394810589</v>
      </c>
      <c r="R198" s="167">
        <v>68260.193684227444</v>
      </c>
      <c r="S198" s="167">
        <v>70358.617934890586</v>
      </c>
      <c r="T198" s="167">
        <v>72482.439569493581</v>
      </c>
      <c r="U198" s="167">
        <v>74297.476797508541</v>
      </c>
      <c r="V198" s="167">
        <v>76073.923157972866</v>
      </c>
      <c r="W198" s="167">
        <v>77846.438412749994</v>
      </c>
      <c r="X198" s="167">
        <v>78083.622952683683</v>
      </c>
      <c r="Y198"/>
      <c r="Z198"/>
      <c r="AA198"/>
      <c r="AB198"/>
      <c r="AC198"/>
      <c r="AD198"/>
      <c r="AE198"/>
      <c r="AF198"/>
      <c r="AG198"/>
    </row>
    <row r="199" spans="1:33" ht="12.75" outlineLevel="1">
      <c r="A199" s="168" t="s">
        <v>431</v>
      </c>
      <c r="B199" s="581">
        <f>NPV(0.1,D199:Y199)</f>
        <v>220564.28882829219</v>
      </c>
      <c r="C199" s="581">
        <f>B199-B189</f>
        <v>95.052242387959268</v>
      </c>
      <c r="D199" s="585">
        <v>17581.785766788435</v>
      </c>
      <c r="E199" s="586">
        <v>21715.315148729471</v>
      </c>
      <c r="F199" s="586">
        <v>22058.935001368416</v>
      </c>
      <c r="G199" s="586">
        <v>22359.025463927155</v>
      </c>
      <c r="H199" s="586">
        <v>22723.431059232473</v>
      </c>
      <c r="I199" s="586">
        <v>23164.10755830241</v>
      </c>
      <c r="J199" s="586">
        <v>23701.294265532611</v>
      </c>
      <c r="K199" s="586">
        <v>24351.654617551314</v>
      </c>
      <c r="L199" s="586">
        <v>25124.045419335496</v>
      </c>
      <c r="M199" s="586">
        <v>26018.550026734796</v>
      </c>
      <c r="N199" s="586">
        <v>27066.021524961503</v>
      </c>
      <c r="O199" s="587">
        <v>29057.753963991396</v>
      </c>
      <c r="P199" s="167">
        <v>30369.156588121288</v>
      </c>
      <c r="Q199" s="167">
        <v>31753.995848455521</v>
      </c>
      <c r="R199" s="167">
        <v>33209.737295095183</v>
      </c>
      <c r="S199" s="167">
        <v>34729.544006364289</v>
      </c>
      <c r="T199" s="167">
        <v>36250.745663211113</v>
      </c>
      <c r="U199" s="167">
        <v>37776.940055325846</v>
      </c>
      <c r="V199" s="167">
        <v>39289.745957451356</v>
      </c>
      <c r="W199" s="167">
        <v>40923.267499411704</v>
      </c>
      <c r="X199" s="167">
        <v>40772.873909914873</v>
      </c>
      <c r="Y199"/>
      <c r="Z199"/>
      <c r="AA199"/>
      <c r="AB199"/>
      <c r="AC199"/>
      <c r="AD199"/>
      <c r="AE199"/>
      <c r="AF199"/>
      <c r="AG199"/>
    </row>
    <row r="200" spans="1:33" ht="12.75" outlineLevel="1">
      <c r="A200" s="168" t="s">
        <v>34</v>
      </c>
      <c r="B200" s="581">
        <f>NPV(0.1,D200:Y200)</f>
        <v>85745.017383141196</v>
      </c>
      <c r="C200" s="581">
        <f>B200-B190</f>
        <v>4788.6225338762888</v>
      </c>
      <c r="D200" s="585">
        <v>1012.6771252699509</v>
      </c>
      <c r="E200" s="586">
        <v>1621.6915454603763</v>
      </c>
      <c r="F200" s="586">
        <v>1703.7379754271217</v>
      </c>
      <c r="G200" s="586">
        <v>1760.9284366190404</v>
      </c>
      <c r="H200" s="586">
        <v>7350.6206583594112</v>
      </c>
      <c r="I200" s="586">
        <v>12158.398619415195</v>
      </c>
      <c r="J200" s="586">
        <v>13066.295460338122</v>
      </c>
      <c r="K200" s="586">
        <v>13588.195145847949</v>
      </c>
      <c r="L200" s="586">
        <v>14190.259948143845</v>
      </c>
      <c r="M200" s="586">
        <v>14823.153637203934</v>
      </c>
      <c r="N200" s="586">
        <v>15492.395612238382</v>
      </c>
      <c r="O200" s="587">
        <v>15656.10104491898</v>
      </c>
      <c r="P200" s="167">
        <v>16506.848020500463</v>
      </c>
      <c r="Q200" s="167">
        <v>17416.340462405708</v>
      </c>
      <c r="R200" s="167">
        <v>18247.992518541811</v>
      </c>
      <c r="S200" s="167">
        <v>19232.236150478333</v>
      </c>
      <c r="T200" s="167">
        <v>19646.120778316443</v>
      </c>
      <c r="U200" s="167">
        <v>19843.056039955714</v>
      </c>
      <c r="V200" s="167">
        <v>20024.986077764937</v>
      </c>
      <c r="W200" s="167">
        <v>20057.271509665512</v>
      </c>
      <c r="X200" s="167">
        <v>20316.89820151027</v>
      </c>
      <c r="Y200"/>
      <c r="Z200"/>
      <c r="AA200"/>
      <c r="AB200"/>
      <c r="AC200"/>
      <c r="AD200"/>
      <c r="AE200"/>
      <c r="AF200"/>
      <c r="AG200"/>
    </row>
    <row r="201" spans="1:33" ht="12.75" outlineLevel="1">
      <c r="A201" s="168" t="s">
        <v>31</v>
      </c>
      <c r="B201" s="581">
        <f>NPV(0.1,D201:Y201)</f>
        <v>100432.19809844962</v>
      </c>
      <c r="C201" s="581">
        <f>B201-B191</f>
        <v>-68.067620867193909</v>
      </c>
      <c r="D201" s="588">
        <v>3099.1833641405956</v>
      </c>
      <c r="E201" s="589">
        <v>5761.447424617083</v>
      </c>
      <c r="F201" s="589">
        <v>5208.323858394142</v>
      </c>
      <c r="G201" s="589">
        <v>5156.4161072187453</v>
      </c>
      <c r="H201" s="589">
        <v>14550.002257280295</v>
      </c>
      <c r="I201" s="589">
        <v>18626.123248991298</v>
      </c>
      <c r="J201" s="589">
        <v>13100.048098776719</v>
      </c>
      <c r="K201" s="589">
        <v>12963.385455040881</v>
      </c>
      <c r="L201" s="589">
        <v>12850.923762747789</v>
      </c>
      <c r="M201" s="589">
        <v>12726.981860986842</v>
      </c>
      <c r="N201" s="589">
        <v>12562.670450216079</v>
      </c>
      <c r="O201" s="590">
        <v>12944.957914993709</v>
      </c>
      <c r="P201" s="167">
        <v>11939.342005736864</v>
      </c>
      <c r="Q201" s="167">
        <v>11745.860724760705</v>
      </c>
      <c r="R201" s="167">
        <v>16357.50755701325</v>
      </c>
      <c r="S201" s="167">
        <v>23617.76696372046</v>
      </c>
      <c r="T201" s="167">
        <v>22277.872436415084</v>
      </c>
      <c r="U201" s="167">
        <v>22458.465087098004</v>
      </c>
      <c r="V201" s="167">
        <v>22640.395124907227</v>
      </c>
      <c r="W201" s="167">
        <v>22770.736222545907</v>
      </c>
      <c r="X201" s="167">
        <v>22752.538528132711</v>
      </c>
      <c r="Y201"/>
      <c r="Z201"/>
      <c r="AA201"/>
      <c r="AB201"/>
      <c r="AC201"/>
      <c r="AD201"/>
      <c r="AE201"/>
      <c r="AF201"/>
      <c r="AG201"/>
    </row>
    <row r="202" spans="1:33" ht="12.75" outlineLevel="1">
      <c r="A202" s="163"/>
      <c r="B202" s="163"/>
      <c r="C202" s="163"/>
      <c r="D202"/>
      <c r="E202"/>
      <c r="F202"/>
      <c r="G202"/>
      <c r="H202"/>
      <c r="I202"/>
      <c r="J202"/>
      <c r="K202"/>
      <c r="L202"/>
      <c r="M202"/>
      <c r="N202"/>
      <c r="O202"/>
      <c r="P202"/>
      <c r="Q202"/>
      <c r="R202"/>
      <c r="S202"/>
      <c r="T202"/>
      <c r="U202"/>
      <c r="V202"/>
      <c r="W202"/>
      <c r="X202"/>
      <c r="Y202"/>
      <c r="Z202"/>
      <c r="AA202"/>
      <c r="AB202"/>
      <c r="AC202"/>
      <c r="AD202"/>
      <c r="AE202"/>
      <c r="AF202"/>
      <c r="AG202"/>
    </row>
    <row r="203" spans="1:33" ht="12.75" outlineLevel="1">
      <c r="A203" s="169" t="s">
        <v>536</v>
      </c>
      <c r="B203" s="163"/>
      <c r="C203" s="163"/>
      <c r="D203"/>
      <c r="E203"/>
      <c r="F203"/>
      <c r="G203"/>
      <c r="H203"/>
      <c r="I203"/>
      <c r="J203"/>
      <c r="K203"/>
      <c r="L203"/>
      <c r="M203"/>
      <c r="N203"/>
      <c r="O203"/>
      <c r="P203"/>
      <c r="Q203"/>
      <c r="R203"/>
      <c r="S203"/>
      <c r="T203"/>
      <c r="U203"/>
      <c r="V203"/>
      <c r="W203"/>
      <c r="X203"/>
      <c r="Y203"/>
      <c r="Z203"/>
      <c r="AA203"/>
      <c r="AB203"/>
      <c r="AC203"/>
      <c r="AD203"/>
      <c r="AE203"/>
      <c r="AF203"/>
      <c r="AG203"/>
    </row>
    <row r="204" spans="1:33" ht="12.75" outlineLevel="1">
      <c r="A204" s="416">
        <v>36257</v>
      </c>
      <c r="B204" s="163"/>
      <c r="C204" s="163"/>
      <c r="D204"/>
      <c r="E204"/>
      <c r="F204"/>
      <c r="G204"/>
      <c r="H204"/>
      <c r="I204"/>
      <c r="J204"/>
      <c r="K204"/>
      <c r="L204"/>
      <c r="M204"/>
      <c r="N204"/>
      <c r="O204"/>
      <c r="P204"/>
      <c r="Q204"/>
      <c r="R204"/>
      <c r="S204"/>
      <c r="T204"/>
      <c r="U204"/>
      <c r="V204"/>
      <c r="W204"/>
      <c r="X204"/>
      <c r="Y204"/>
      <c r="Z204"/>
      <c r="AA204"/>
      <c r="AB204"/>
      <c r="AC204"/>
      <c r="AD204"/>
      <c r="AE204"/>
      <c r="AF204"/>
      <c r="AG204"/>
    </row>
    <row r="205" spans="1:33" ht="12.75" outlineLevel="1">
      <c r="A205" s="164" t="s">
        <v>427</v>
      </c>
      <c r="B205" s="172">
        <v>30190.534333763579</v>
      </c>
      <c r="C205" s="163" t="s">
        <v>534</v>
      </c>
      <c r="D205"/>
      <c r="E205"/>
      <c r="F205"/>
      <c r="G205"/>
      <c r="H205"/>
      <c r="I205"/>
      <c r="J205"/>
      <c r="K205"/>
      <c r="L205"/>
      <c r="M205"/>
      <c r="N205"/>
      <c r="O205"/>
      <c r="P205"/>
      <c r="Q205"/>
      <c r="R205"/>
      <c r="S205"/>
      <c r="T205"/>
      <c r="U205"/>
      <c r="V205"/>
      <c r="W205"/>
      <c r="X205"/>
      <c r="Y205"/>
      <c r="Z205"/>
      <c r="AA205"/>
      <c r="AB205"/>
      <c r="AC205"/>
      <c r="AD205"/>
      <c r="AE205"/>
      <c r="AF205"/>
      <c r="AG205"/>
    </row>
    <row r="206" spans="1:33" ht="12.75" outlineLevel="1">
      <c r="A206" s="165" t="s">
        <v>428</v>
      </c>
      <c r="B206" s="173">
        <v>62892.107853046371</v>
      </c>
      <c r="C206" s="163"/>
      <c r="D206"/>
      <c r="E206"/>
      <c r="F206"/>
      <c r="G206"/>
      <c r="H206"/>
      <c r="I206"/>
      <c r="J206"/>
      <c r="K206"/>
      <c r="L206"/>
      <c r="M206"/>
      <c r="N206"/>
      <c r="O206"/>
      <c r="P206"/>
      <c r="Q206"/>
      <c r="R206"/>
      <c r="S206"/>
      <c r="T206"/>
      <c r="U206"/>
      <c r="V206"/>
      <c r="W206"/>
      <c r="X206"/>
      <c r="Y206"/>
      <c r="Z206"/>
      <c r="AA206"/>
      <c r="AB206"/>
      <c r="AC206"/>
      <c r="AD206"/>
      <c r="AE206"/>
      <c r="AF206"/>
      <c r="AG206"/>
    </row>
    <row r="207" spans="1:33" ht="12.75" outlineLevel="1">
      <c r="A207" s="166" t="s">
        <v>429</v>
      </c>
      <c r="B207" s="580" t="s">
        <v>499</v>
      </c>
      <c r="C207" s="580" t="s">
        <v>500</v>
      </c>
      <c r="D207" s="582">
        <v>1999</v>
      </c>
      <c r="E207" s="583">
        <v>2000</v>
      </c>
      <c r="F207" s="583">
        <v>2001</v>
      </c>
      <c r="G207" s="583">
        <v>2002</v>
      </c>
      <c r="H207" s="583">
        <v>2003</v>
      </c>
      <c r="I207" s="583">
        <v>2004</v>
      </c>
      <c r="J207" s="583">
        <v>2005</v>
      </c>
      <c r="K207" s="583">
        <v>2006</v>
      </c>
      <c r="L207" s="583">
        <v>2007</v>
      </c>
      <c r="M207" s="583">
        <v>2008</v>
      </c>
      <c r="N207" s="583">
        <v>2009</v>
      </c>
      <c r="O207" s="584">
        <v>2010</v>
      </c>
      <c r="P207" s="171">
        <v>2011</v>
      </c>
      <c r="Q207" s="171">
        <v>2012</v>
      </c>
      <c r="R207" s="171">
        <v>2013</v>
      </c>
      <c r="S207" s="171">
        <v>2014</v>
      </c>
      <c r="T207" s="171">
        <v>2015</v>
      </c>
      <c r="U207" s="171">
        <v>2016</v>
      </c>
      <c r="V207" s="171">
        <v>2017</v>
      </c>
      <c r="W207" s="171">
        <v>2018</v>
      </c>
      <c r="X207" s="171">
        <v>2019</v>
      </c>
      <c r="Y207"/>
      <c r="Z207"/>
      <c r="AA207"/>
      <c r="AB207"/>
      <c r="AC207"/>
      <c r="AD207"/>
      <c r="AE207"/>
      <c r="AF207"/>
      <c r="AG207"/>
    </row>
    <row r="208" spans="1:33" ht="12.75" outlineLevel="1">
      <c r="A208" s="166" t="s">
        <v>430</v>
      </c>
      <c r="B208" s="581">
        <f>NPV(0.1,D208:Y208)</f>
        <v>440714.40708929661</v>
      </c>
      <c r="C208" s="581">
        <f>B208-B198</f>
        <v>0</v>
      </c>
      <c r="D208" s="585">
        <v>26456.16517218751</v>
      </c>
      <c r="E208" s="586">
        <v>36622.816768205368</v>
      </c>
      <c r="F208" s="586">
        <v>36899.746726638754</v>
      </c>
      <c r="G208" s="586">
        <v>37130.460845427748</v>
      </c>
      <c r="H208" s="586">
        <v>46551.621850797776</v>
      </c>
      <c r="I208" s="586">
        <v>54368.336326315562</v>
      </c>
      <c r="J208" s="586">
        <v>55774.108175254165</v>
      </c>
      <c r="K208" s="586">
        <v>56836.434077905724</v>
      </c>
      <c r="L208" s="586">
        <v>58014.036281411987</v>
      </c>
      <c r="M208" s="586">
        <v>59306.280178476387</v>
      </c>
      <c r="N208" s="586">
        <v>60748.639046920085</v>
      </c>
      <c r="O208" s="587">
        <v>62343.69174515373</v>
      </c>
      <c r="P208" s="167">
        <v>64230.909919159676</v>
      </c>
      <c r="Q208" s="167">
        <v>66205.417394810589</v>
      </c>
      <c r="R208" s="167">
        <v>68260.193684227444</v>
      </c>
      <c r="S208" s="167">
        <v>70358.617934890586</v>
      </c>
      <c r="T208" s="167">
        <v>72482.439569493581</v>
      </c>
      <c r="U208" s="167">
        <v>74297.476797508541</v>
      </c>
      <c r="V208" s="167">
        <v>76073.923157972866</v>
      </c>
      <c r="W208" s="167">
        <v>77846.438412749994</v>
      </c>
      <c r="X208" s="167">
        <v>78083.622952683683</v>
      </c>
      <c r="Y208"/>
      <c r="Z208"/>
      <c r="AA208"/>
      <c r="AB208"/>
      <c r="AC208"/>
      <c r="AD208"/>
      <c r="AE208"/>
      <c r="AF208"/>
      <c r="AG208"/>
    </row>
    <row r="209" spans="1:33" ht="12.75" outlineLevel="1">
      <c r="A209" s="168" t="s">
        <v>431</v>
      </c>
      <c r="B209" s="581">
        <f>NPV(0.1,D209:Y209)</f>
        <v>220564.8058159682</v>
      </c>
      <c r="C209" s="581">
        <f>B209-B199</f>
        <v>0.51698767600464635</v>
      </c>
      <c r="D209" s="585">
        <v>17581.814511714751</v>
      </c>
      <c r="E209" s="586">
        <v>21715.407673188147</v>
      </c>
      <c r="F209" s="586">
        <v>22059.110648530335</v>
      </c>
      <c r="G209" s="586">
        <v>22359.257601596084</v>
      </c>
      <c r="H209" s="586">
        <v>22723.6309970939</v>
      </c>
      <c r="I209" s="586">
        <v>23164.107481198695</v>
      </c>
      <c r="J209" s="586">
        <v>23701.294188428896</v>
      </c>
      <c r="K209" s="586">
        <v>24351.654540447598</v>
      </c>
      <c r="L209" s="586">
        <v>25124.045342231781</v>
      </c>
      <c r="M209" s="586">
        <v>26018.54994963108</v>
      </c>
      <c r="N209" s="586">
        <v>27066.021447857787</v>
      </c>
      <c r="O209" s="587">
        <v>29057.75388688768</v>
      </c>
      <c r="P209" s="167">
        <v>30369.156511017572</v>
      </c>
      <c r="Q209" s="167">
        <v>31753.995771351805</v>
      </c>
      <c r="R209" s="167">
        <v>33209.737295095183</v>
      </c>
      <c r="S209" s="167">
        <v>34729.544006364289</v>
      </c>
      <c r="T209" s="167">
        <v>36250.745663211113</v>
      </c>
      <c r="U209" s="167">
        <v>37776.940055325846</v>
      </c>
      <c r="V209" s="167">
        <v>39289.745957451356</v>
      </c>
      <c r="W209" s="167">
        <v>40923.267499411704</v>
      </c>
      <c r="X209" s="167">
        <v>40772.873909914873</v>
      </c>
      <c r="Y209"/>
      <c r="Z209"/>
      <c r="AA209"/>
      <c r="AB209"/>
      <c r="AC209"/>
      <c r="AD209"/>
      <c r="AE209"/>
      <c r="AF209"/>
      <c r="AG209"/>
    </row>
    <row r="210" spans="1:33" ht="12.75" outlineLevel="1">
      <c r="A210" s="168" t="s">
        <v>34</v>
      </c>
      <c r="B210" s="581">
        <f>NPV(0.1,D210:Y210)</f>
        <v>86225.630239075123</v>
      </c>
      <c r="C210" s="581">
        <f>B210-B200</f>
        <v>480.61285593392677</v>
      </c>
      <c r="D210" s="585">
        <v>994.06525228420855</v>
      </c>
      <c r="E210" s="586">
        <v>1580.5058082234327</v>
      </c>
      <c r="F210" s="586">
        <v>1650.0613539855312</v>
      </c>
      <c r="G210" s="586">
        <v>1724.4495994117008</v>
      </c>
      <c r="H210" s="586">
        <v>7371.4137366691311</v>
      </c>
      <c r="I210" s="586">
        <v>12223.218886792081</v>
      </c>
      <c r="J210" s="586">
        <v>13124.401281746777</v>
      </c>
      <c r="K210" s="586">
        <v>13687.034940389845</v>
      </c>
      <c r="L210" s="586">
        <v>14277.991423536776</v>
      </c>
      <c r="M210" s="586">
        <v>14899.29203678773</v>
      </c>
      <c r="N210" s="586">
        <v>15556.479029029273</v>
      </c>
      <c r="O210" s="587">
        <v>15759.390076356987</v>
      </c>
      <c r="P210" s="167">
        <v>16598.558834743082</v>
      </c>
      <c r="Q210" s="167">
        <v>17496.099300970651</v>
      </c>
      <c r="R210" s="167">
        <v>18453.457261377371</v>
      </c>
      <c r="S210" s="167">
        <v>19489.739524501361</v>
      </c>
      <c r="T210" s="167">
        <v>19890.241828719103</v>
      </c>
      <c r="U210" s="167">
        <v>20070.831785527098</v>
      </c>
      <c r="V210" s="167">
        <v>20235.664743339115</v>
      </c>
      <c r="W210" s="167">
        <v>20322.566218724285</v>
      </c>
      <c r="X210" s="167">
        <v>20564.887332334172</v>
      </c>
      <c r="Y210"/>
      <c r="Z210"/>
      <c r="AA210"/>
      <c r="AB210"/>
      <c r="AC210"/>
      <c r="AD210"/>
      <c r="AE210"/>
      <c r="AF210"/>
      <c r="AG210"/>
    </row>
    <row r="211" spans="1:33" ht="12.75" outlineLevel="1">
      <c r="A211" s="168" t="s">
        <v>31</v>
      </c>
      <c r="B211" s="581">
        <f>NPV(0.1,D211:Y211)</f>
        <v>100894.22634410298</v>
      </c>
      <c r="C211" s="581">
        <f>B211-B201</f>
        <v>462.0282456533605</v>
      </c>
      <c r="D211" s="588">
        <v>3069.0462700801618</v>
      </c>
      <c r="E211" s="589">
        <v>5694.785140253005</v>
      </c>
      <c r="F211" s="589">
        <v>5121.4915697082633</v>
      </c>
      <c r="G211" s="589">
        <v>5097.4793811875516</v>
      </c>
      <c r="H211" s="589">
        <v>14583.749323922726</v>
      </c>
      <c r="I211" s="589">
        <v>18770.94948699632</v>
      </c>
      <c r="J211" s="589">
        <v>13158.153903522678</v>
      </c>
      <c r="K211" s="589">
        <v>13062.225231587068</v>
      </c>
      <c r="L211" s="589">
        <v>12938.655218705353</v>
      </c>
      <c r="M211" s="589">
        <v>12803.120239580441</v>
      </c>
      <c r="N211" s="589">
        <v>12626.753844337563</v>
      </c>
      <c r="O211" s="590">
        <v>13048.246921948752</v>
      </c>
      <c r="P211" s="167">
        <v>12031.052793537883</v>
      </c>
      <c r="Q211" s="167">
        <v>11825.619534768721</v>
      </c>
      <c r="R211" s="167">
        <v>16562.941458362591</v>
      </c>
      <c r="S211" s="167">
        <v>23875.270337743477</v>
      </c>
      <c r="T211" s="167">
        <v>22521.993486817744</v>
      </c>
      <c r="U211" s="167">
        <v>22686.240832669391</v>
      </c>
      <c r="V211" s="167">
        <v>22851.073790481405</v>
      </c>
      <c r="W211" s="167">
        <v>23036.030931604677</v>
      </c>
      <c r="X211" s="167">
        <v>23000.527658956609</v>
      </c>
      <c r="Y211"/>
      <c r="Z211"/>
      <c r="AA211"/>
      <c r="AB211"/>
      <c r="AC211"/>
      <c r="AD211"/>
      <c r="AE211"/>
      <c r="AF211"/>
      <c r="AG211"/>
    </row>
    <row r="212" spans="1:33" ht="12.75" outlineLevel="1">
      <c r="A212" s="163"/>
      <c r="B212" s="163"/>
      <c r="C212" s="163"/>
      <c r="D212"/>
      <c r="E212"/>
      <c r="F212"/>
      <c r="G212"/>
      <c r="H212"/>
      <c r="I212"/>
      <c r="J212"/>
      <c r="K212"/>
      <c r="L212"/>
      <c r="M212"/>
      <c r="N212"/>
      <c r="O212"/>
      <c r="P212"/>
      <c r="Q212"/>
      <c r="R212"/>
      <c r="S212"/>
      <c r="T212"/>
      <c r="U212"/>
      <c r="V212"/>
      <c r="W212"/>
      <c r="X212"/>
      <c r="Y212"/>
      <c r="Z212"/>
      <c r="AA212"/>
      <c r="AB212"/>
      <c r="AC212"/>
      <c r="AD212"/>
      <c r="AE212"/>
      <c r="AF212"/>
      <c r="AG212"/>
    </row>
    <row r="213" spans="1:33" ht="12.75" outlineLevel="1">
      <c r="A213" s="169" t="s">
        <v>540</v>
      </c>
      <c r="B213" s="163"/>
      <c r="C213" s="163"/>
      <c r="D213"/>
      <c r="E213"/>
      <c r="F213"/>
      <c r="G213"/>
      <c r="H213"/>
      <c r="I213"/>
      <c r="J213"/>
      <c r="K213"/>
      <c r="L213"/>
      <c r="M213"/>
      <c r="N213"/>
      <c r="O213"/>
      <c r="P213"/>
      <c r="Q213"/>
      <c r="R213"/>
      <c r="S213"/>
      <c r="T213"/>
      <c r="U213"/>
      <c r="V213"/>
      <c r="W213"/>
      <c r="X213"/>
      <c r="Y213"/>
      <c r="Z213"/>
      <c r="AA213"/>
      <c r="AB213"/>
      <c r="AC213"/>
      <c r="AD213"/>
      <c r="AE213"/>
      <c r="AF213"/>
      <c r="AG213"/>
    </row>
    <row r="214" spans="1:33" ht="12.75" outlineLevel="1">
      <c r="A214" s="416">
        <v>36257</v>
      </c>
      <c r="B214" s="163"/>
      <c r="C214" s="163"/>
      <c r="D214"/>
      <c r="E214"/>
      <c r="F214"/>
      <c r="G214"/>
      <c r="H214"/>
      <c r="I214"/>
      <c r="J214"/>
      <c r="K214"/>
      <c r="L214"/>
      <c r="M214"/>
      <c r="N214"/>
      <c r="O214"/>
      <c r="P214"/>
      <c r="Q214"/>
      <c r="R214"/>
      <c r="S214"/>
      <c r="T214"/>
      <c r="U214"/>
      <c r="V214"/>
      <c r="W214"/>
      <c r="X214"/>
      <c r="Y214"/>
      <c r="Z214"/>
      <c r="AA214"/>
      <c r="AB214"/>
      <c r="AC214"/>
      <c r="AD214"/>
      <c r="AE214"/>
      <c r="AF214"/>
      <c r="AG214"/>
    </row>
    <row r="215" spans="1:33" ht="12.75" outlineLevel="1">
      <c r="A215" s="164" t="s">
        <v>427</v>
      </c>
      <c r="B215" s="172">
        <v>29033.607691306886</v>
      </c>
      <c r="C215" s="163" t="s">
        <v>534</v>
      </c>
      <c r="D215"/>
      <c r="E215"/>
      <c r="F215"/>
      <c r="G215"/>
      <c r="H215"/>
      <c r="I215"/>
      <c r="J215"/>
      <c r="K215"/>
      <c r="L215"/>
      <c r="M215"/>
      <c r="N215"/>
      <c r="O215"/>
      <c r="P215"/>
      <c r="Q215"/>
      <c r="R215"/>
      <c r="S215"/>
      <c r="T215"/>
      <c r="U215"/>
      <c r="V215"/>
      <c r="W215"/>
      <c r="X215"/>
      <c r="Y215"/>
      <c r="Z215"/>
      <c r="AA215"/>
      <c r="AB215"/>
      <c r="AC215"/>
      <c r="AD215"/>
      <c r="AE215"/>
      <c r="AF215"/>
      <c r="AG215"/>
    </row>
    <row r="216" spans="1:33" ht="12.75" outlineLevel="1">
      <c r="A216" s="165" t="s">
        <v>428</v>
      </c>
      <c r="B216" s="173">
        <v>61327.513287228074</v>
      </c>
      <c r="C216" s="163"/>
      <c r="D216"/>
      <c r="E216"/>
      <c r="F216"/>
      <c r="G216"/>
      <c r="H216"/>
      <c r="I216"/>
      <c r="J216"/>
      <c r="K216"/>
      <c r="L216"/>
      <c r="M216"/>
      <c r="N216"/>
      <c r="O216"/>
      <c r="P216"/>
      <c r="Q216"/>
      <c r="R216"/>
      <c r="S216"/>
      <c r="T216"/>
      <c r="U216"/>
      <c r="V216"/>
      <c r="W216"/>
      <c r="X216"/>
      <c r="Y216"/>
      <c r="Z216"/>
      <c r="AA216"/>
      <c r="AB216"/>
      <c r="AC216"/>
      <c r="AD216"/>
      <c r="AE216"/>
      <c r="AF216"/>
      <c r="AG216"/>
    </row>
    <row r="217" spans="1:33" ht="12.75" outlineLevel="1">
      <c r="A217" s="166" t="s">
        <v>429</v>
      </c>
      <c r="B217" s="580" t="s">
        <v>499</v>
      </c>
      <c r="C217" s="580" t="s">
        <v>500</v>
      </c>
      <c r="D217" s="582">
        <v>1999</v>
      </c>
      <c r="E217" s="583">
        <v>2000</v>
      </c>
      <c r="F217" s="583">
        <v>2001</v>
      </c>
      <c r="G217" s="583">
        <v>2002</v>
      </c>
      <c r="H217" s="583">
        <v>2003</v>
      </c>
      <c r="I217" s="583">
        <v>2004</v>
      </c>
      <c r="J217" s="583">
        <v>2005</v>
      </c>
      <c r="K217" s="583">
        <v>2006</v>
      </c>
      <c r="L217" s="583">
        <v>2007</v>
      </c>
      <c r="M217" s="583">
        <v>2008</v>
      </c>
      <c r="N217" s="583">
        <v>2009</v>
      </c>
      <c r="O217" s="584">
        <v>2010</v>
      </c>
      <c r="P217" s="171">
        <v>2011</v>
      </c>
      <c r="Q217" s="171">
        <v>2012</v>
      </c>
      <c r="R217" s="171">
        <v>2013</v>
      </c>
      <c r="S217" s="171">
        <v>2014</v>
      </c>
      <c r="T217" s="171">
        <v>2015</v>
      </c>
      <c r="U217" s="171">
        <v>2016</v>
      </c>
      <c r="V217" s="171">
        <v>2017</v>
      </c>
      <c r="W217" s="171">
        <v>2018</v>
      </c>
      <c r="X217" s="171">
        <v>2019</v>
      </c>
      <c r="Y217"/>
      <c r="Z217"/>
      <c r="AA217"/>
      <c r="AB217"/>
      <c r="AC217"/>
      <c r="AD217"/>
      <c r="AE217"/>
      <c r="AF217"/>
      <c r="AG217"/>
    </row>
    <row r="218" spans="1:33" ht="12.75" outlineLevel="1">
      <c r="A218" s="166" t="s">
        <v>430</v>
      </c>
      <c r="B218" s="581">
        <f>NPV(0.1,D218:Y218)</f>
        <v>440714.40708929661</v>
      </c>
      <c r="C218" s="581">
        <f>B218-B208</f>
        <v>0</v>
      </c>
      <c r="D218" s="585">
        <v>26456.16517218751</v>
      </c>
      <c r="E218" s="586">
        <v>36622.816768205368</v>
      </c>
      <c r="F218" s="586">
        <v>36899.746726638754</v>
      </c>
      <c r="G218" s="586">
        <v>37130.460845427748</v>
      </c>
      <c r="H218" s="586">
        <v>46551.621850797776</v>
      </c>
      <c r="I218" s="586">
        <v>54368.336326315562</v>
      </c>
      <c r="J218" s="586">
        <v>55774.108175254165</v>
      </c>
      <c r="K218" s="586">
        <v>56836.434077905724</v>
      </c>
      <c r="L218" s="586">
        <v>58014.036281411987</v>
      </c>
      <c r="M218" s="586">
        <v>59306.280178476387</v>
      </c>
      <c r="N218" s="586">
        <v>60748.639046920085</v>
      </c>
      <c r="O218" s="587">
        <v>62343.69174515373</v>
      </c>
      <c r="P218" s="167">
        <v>64230.909919159676</v>
      </c>
      <c r="Q218" s="167">
        <v>66205.417394810589</v>
      </c>
      <c r="R218" s="167">
        <v>68260.193684227444</v>
      </c>
      <c r="S218" s="167">
        <v>70358.617934890586</v>
      </c>
      <c r="T218" s="167">
        <v>72482.439569493581</v>
      </c>
      <c r="U218" s="167">
        <v>74297.476797508541</v>
      </c>
      <c r="V218" s="167">
        <v>76073.923157972866</v>
      </c>
      <c r="W218" s="167">
        <v>77846.438412749994</v>
      </c>
      <c r="X218" s="167">
        <v>78083.622952683683</v>
      </c>
      <c r="Y218"/>
      <c r="Z218"/>
      <c r="AA218"/>
      <c r="AB218"/>
      <c r="AC218"/>
      <c r="AD218"/>
      <c r="AE218"/>
      <c r="AF218"/>
      <c r="AG218"/>
    </row>
    <row r="219" spans="1:33" ht="12.75" outlineLevel="1">
      <c r="A219" s="168" t="s">
        <v>431</v>
      </c>
      <c r="B219" s="581">
        <f>NPV(0.1,D219:Y219)</f>
        <v>222171.03221538552</v>
      </c>
      <c r="C219" s="581">
        <f>B219-B209</f>
        <v>1606.2263994173263</v>
      </c>
      <c r="D219" s="585">
        <v>17672.56604041118</v>
      </c>
      <c r="E219" s="586">
        <v>21875.809819031219</v>
      </c>
      <c r="F219" s="586">
        <v>22224.433094439712</v>
      </c>
      <c r="G219" s="586">
        <v>22529.653803735659</v>
      </c>
      <c r="H219" s="586">
        <v>22899.258108852802</v>
      </c>
      <c r="I219" s="586">
        <v>23344.483616700571</v>
      </c>
      <c r="J219" s="586">
        <v>23887.085618049481</v>
      </c>
      <c r="K219" s="586">
        <v>24543.023723010443</v>
      </c>
      <c r="L219" s="586">
        <v>25321.159610325158</v>
      </c>
      <c r="M219" s="586">
        <v>26221.581655820901</v>
      </c>
      <c r="N219" s="586">
        <v>27275.148115286949</v>
      </c>
      <c r="O219" s="587">
        <v>29273.158364393366</v>
      </c>
      <c r="P219" s="167">
        <v>30591.027132902076</v>
      </c>
      <c r="Q219" s="167">
        <v>31982.526521946485</v>
      </c>
      <c r="R219" s="167">
        <v>33445.261646716222</v>
      </c>
      <c r="S219" s="167">
        <v>34972.134088533952</v>
      </c>
      <c r="T219" s="167">
        <v>36500.61344784587</v>
      </c>
      <c r="U219" s="167">
        <v>38034.303873499644</v>
      </c>
      <c r="V219" s="167">
        <v>39554.830690170376</v>
      </c>
      <c r="W219" s="167">
        <v>41196.304774112286</v>
      </c>
      <c r="X219" s="167">
        <v>41054.102302856474</v>
      </c>
      <c r="Y219"/>
      <c r="Z219"/>
      <c r="AA219"/>
      <c r="AB219"/>
      <c r="AC219"/>
      <c r="AD219"/>
      <c r="AE219"/>
      <c r="AF219"/>
      <c r="AG219"/>
    </row>
    <row r="220" spans="1:33" ht="12.75" outlineLevel="1">
      <c r="A220" s="168" t="s">
        <v>34</v>
      </c>
      <c r="B220" s="581">
        <f>NPV(0.1,D220:Y220)</f>
        <v>85406.883968201975</v>
      </c>
      <c r="C220" s="581">
        <f>B220-B210</f>
        <v>-818.7462708731473</v>
      </c>
      <c r="D220" s="585">
        <v>958.7120781541222</v>
      </c>
      <c r="E220" s="586">
        <v>1515.6438431070596</v>
      </c>
      <c r="F220" s="586">
        <v>1579.7510241777939</v>
      </c>
      <c r="G220" s="586">
        <v>1648.2541453536071</v>
      </c>
      <c r="H220" s="586">
        <v>7289.7419524504639</v>
      </c>
      <c r="I220" s="586">
        <v>12137.358218481664</v>
      </c>
      <c r="J220" s="586">
        <v>13033.743747471693</v>
      </c>
      <c r="K220" s="586">
        <v>13591.259071832133</v>
      </c>
      <c r="L220" s="586">
        <v>14176.751903341799</v>
      </c>
      <c r="M220" s="586">
        <v>14792.217846694128</v>
      </c>
      <c r="N220" s="586">
        <v>15443.171451530859</v>
      </c>
      <c r="O220" s="587">
        <v>15639.420538229657</v>
      </c>
      <c r="P220" s="167">
        <v>16471.466579837856</v>
      </c>
      <c r="Q220" s="167">
        <v>17361.388878667662</v>
      </c>
      <c r="R220" s="167">
        <v>18310.512243984558</v>
      </c>
      <c r="S220" s="167">
        <v>19338.067656564846</v>
      </c>
      <c r="T220" s="167">
        <v>19734.01980474449</v>
      </c>
      <c r="U220" s="167">
        <v>19909.92310083325</v>
      </c>
      <c r="V220" s="167">
        <v>20069.928798104447</v>
      </c>
      <c r="W220" s="167">
        <v>20151.858195132583</v>
      </c>
      <c r="X220" s="167">
        <v>20389.058068034719</v>
      </c>
      <c r="Y220"/>
      <c r="Z220"/>
      <c r="AA220"/>
      <c r="AB220"/>
      <c r="AC220"/>
      <c r="AD220"/>
      <c r="AE220"/>
      <c r="AF220"/>
      <c r="AG220"/>
    </row>
    <row r="221" spans="1:33" ht="12.75" outlineLevel="1">
      <c r="A221" s="168" t="s">
        <v>31</v>
      </c>
      <c r="B221" s="581">
        <f>NPV(0.1,D221:Y221)</f>
        <v>100383.44010036581</v>
      </c>
      <c r="C221" s="581">
        <f>B221-B211</f>
        <v>-510.78624373716593</v>
      </c>
      <c r="D221" s="588">
        <v>3037.661366405981</v>
      </c>
      <c r="E221" s="589">
        <v>5639.3127314822759</v>
      </c>
      <c r="F221" s="589">
        <v>5064.3175571646007</v>
      </c>
      <c r="G221" s="589">
        <v>5038.5506946142796</v>
      </c>
      <c r="H221" s="589">
        <v>14476.177717970395</v>
      </c>
      <c r="I221" s="589">
        <v>18917.071397414904</v>
      </c>
      <c r="J221" s="589">
        <v>13100.512939293381</v>
      </c>
      <c r="K221" s="589">
        <v>13004.338359855708</v>
      </c>
      <c r="L221" s="589">
        <v>12880.633849295049</v>
      </c>
      <c r="M221" s="589">
        <v>12745.088627572866</v>
      </c>
      <c r="N221" s="589">
        <v>12568.850235667791</v>
      </c>
      <c r="O221" s="590">
        <v>12990.624794186961</v>
      </c>
      <c r="P221" s="167">
        <v>11973.882199578966</v>
      </c>
      <c r="Q221" s="167">
        <v>11769.088557771816</v>
      </c>
      <c r="R221" s="167">
        <v>16453.760300363203</v>
      </c>
      <c r="S221" s="167">
        <v>23723.598469806966</v>
      </c>
      <c r="T221" s="167">
        <v>22365.771462843128</v>
      </c>
      <c r="U221" s="167">
        <v>22525.33214797554</v>
      </c>
      <c r="V221" s="167">
        <v>22685.33784524674</v>
      </c>
      <c r="W221" s="167">
        <v>22865.322908012975</v>
      </c>
      <c r="X221" s="167">
        <v>22824.698394657156</v>
      </c>
      <c r="Y221"/>
      <c r="Z221"/>
      <c r="AA221"/>
      <c r="AB221"/>
      <c r="AC221"/>
      <c r="AD221"/>
      <c r="AE221"/>
      <c r="AF221"/>
      <c r="AG221"/>
    </row>
    <row r="222" spans="1:33" ht="12.75" outlineLevel="1">
      <c r="A222" s="163"/>
      <c r="B222" s="163"/>
      <c r="C222" s="163"/>
      <c r="D222"/>
      <c r="E222"/>
      <c r="F222"/>
      <c r="G222"/>
      <c r="H222"/>
      <c r="I222"/>
      <c r="J222"/>
      <c r="K222"/>
      <c r="L222"/>
      <c r="M222"/>
      <c r="N222"/>
      <c r="O222"/>
      <c r="P222"/>
      <c r="Q222"/>
      <c r="R222"/>
      <c r="S222"/>
      <c r="T222"/>
      <c r="U222"/>
      <c r="V222"/>
      <c r="W222"/>
      <c r="X222"/>
      <c r="Y222"/>
      <c r="Z222"/>
      <c r="AA222"/>
      <c r="AB222"/>
      <c r="AC222"/>
      <c r="AD222"/>
      <c r="AE222"/>
      <c r="AF222"/>
      <c r="AG222"/>
    </row>
    <row r="223" spans="1:33" ht="12.75" outlineLevel="1">
      <c r="A223" s="169" t="s">
        <v>541</v>
      </c>
      <c r="B223" s="163"/>
      <c r="C223" s="163"/>
      <c r="D223"/>
      <c r="E223"/>
      <c r="F223"/>
      <c r="G223"/>
      <c r="H223"/>
      <c r="I223"/>
      <c r="J223"/>
      <c r="K223"/>
      <c r="L223"/>
      <c r="M223"/>
      <c r="N223"/>
      <c r="O223"/>
      <c r="P223"/>
      <c r="Q223"/>
      <c r="R223"/>
      <c r="S223"/>
      <c r="T223"/>
      <c r="U223"/>
      <c r="V223"/>
      <c r="W223"/>
      <c r="X223"/>
      <c r="Y223"/>
      <c r="Z223"/>
      <c r="AA223"/>
      <c r="AB223"/>
      <c r="AC223"/>
      <c r="AD223"/>
      <c r="AE223"/>
      <c r="AF223"/>
      <c r="AG223"/>
    </row>
    <row r="224" spans="1:33" ht="12.75" outlineLevel="1">
      <c r="A224" s="416">
        <v>36258</v>
      </c>
      <c r="B224" s="163"/>
      <c r="D224"/>
      <c r="E224"/>
      <c r="F224"/>
      <c r="G224"/>
      <c r="H224"/>
      <c r="I224"/>
      <c r="J224"/>
      <c r="K224"/>
      <c r="L224"/>
      <c r="M224"/>
      <c r="N224"/>
      <c r="O224"/>
      <c r="P224"/>
      <c r="Q224"/>
      <c r="R224"/>
      <c r="S224"/>
      <c r="T224"/>
      <c r="U224"/>
      <c r="V224"/>
      <c r="W224"/>
      <c r="X224"/>
      <c r="Y224"/>
      <c r="Z224"/>
      <c r="AA224"/>
      <c r="AB224"/>
      <c r="AC224"/>
      <c r="AD224"/>
      <c r="AE224"/>
      <c r="AF224"/>
      <c r="AG224"/>
    </row>
    <row r="225" spans="1:33" ht="12.75" outlineLevel="1">
      <c r="A225" s="164" t="s">
        <v>427</v>
      </c>
      <c r="B225" s="172">
        <v>25547.320093842034</v>
      </c>
      <c r="C225" s="163" t="s">
        <v>534</v>
      </c>
      <c r="D225"/>
      <c r="E225"/>
      <c r="F225"/>
      <c r="G225"/>
      <c r="H225"/>
      <c r="I225"/>
      <c r="J225"/>
      <c r="K225"/>
      <c r="L225"/>
      <c r="M225"/>
      <c r="N225"/>
      <c r="O225"/>
      <c r="P225"/>
      <c r="Q225"/>
      <c r="R225"/>
      <c r="S225"/>
      <c r="T225"/>
      <c r="U225"/>
      <c r="V225"/>
      <c r="W225"/>
      <c r="X225"/>
      <c r="Y225"/>
      <c r="Z225"/>
      <c r="AA225"/>
      <c r="AB225"/>
      <c r="AC225"/>
      <c r="AD225"/>
      <c r="AE225"/>
      <c r="AF225"/>
      <c r="AG225"/>
    </row>
    <row r="226" spans="1:33" ht="12.75" outlineLevel="1">
      <c r="A226" s="165" t="s">
        <v>428</v>
      </c>
      <c r="B226" s="173">
        <v>56648.641192730072</v>
      </c>
      <c r="C226" s="163"/>
      <c r="D226"/>
      <c r="E226"/>
      <c r="F226"/>
      <c r="G226"/>
      <c r="H226"/>
      <c r="I226"/>
      <c r="J226"/>
      <c r="K226"/>
      <c r="L226"/>
      <c r="M226"/>
      <c r="N226"/>
      <c r="O226"/>
      <c r="P226"/>
      <c r="Q226"/>
      <c r="R226"/>
      <c r="S226"/>
      <c r="T226"/>
      <c r="U226"/>
      <c r="V226"/>
      <c r="W226"/>
      <c r="X226"/>
      <c r="Y226"/>
      <c r="Z226"/>
      <c r="AA226"/>
      <c r="AB226"/>
      <c r="AC226"/>
      <c r="AD226"/>
      <c r="AE226"/>
      <c r="AF226"/>
      <c r="AG226"/>
    </row>
    <row r="227" spans="1:33" ht="12.75" outlineLevel="1">
      <c r="A227" s="166" t="s">
        <v>429</v>
      </c>
      <c r="B227" s="580" t="s">
        <v>499</v>
      </c>
      <c r="C227" s="580" t="s">
        <v>500</v>
      </c>
      <c r="D227" s="582">
        <v>1999</v>
      </c>
      <c r="E227" s="583">
        <v>2000</v>
      </c>
      <c r="F227" s="583">
        <v>2001</v>
      </c>
      <c r="G227" s="583">
        <v>2002</v>
      </c>
      <c r="H227" s="583">
        <v>2003</v>
      </c>
      <c r="I227" s="583">
        <v>2004</v>
      </c>
      <c r="J227" s="583">
        <v>2005</v>
      </c>
      <c r="K227" s="583">
        <v>2006</v>
      </c>
      <c r="L227" s="583">
        <v>2007</v>
      </c>
      <c r="M227" s="583">
        <v>2008</v>
      </c>
      <c r="N227" s="583">
        <v>2009</v>
      </c>
      <c r="O227" s="584">
        <v>2010</v>
      </c>
      <c r="P227" s="171">
        <v>2011</v>
      </c>
      <c r="Q227" s="171">
        <v>2012</v>
      </c>
      <c r="R227" s="171">
        <v>2013</v>
      </c>
      <c r="S227" s="171">
        <v>2014</v>
      </c>
      <c r="T227" s="171">
        <v>2015</v>
      </c>
      <c r="U227" s="171">
        <v>2016</v>
      </c>
      <c r="V227" s="171">
        <v>2017</v>
      </c>
      <c r="W227" s="171">
        <v>2018</v>
      </c>
      <c r="X227" s="171">
        <v>2019</v>
      </c>
      <c r="Y227"/>
      <c r="Z227"/>
      <c r="AA227"/>
      <c r="AB227"/>
      <c r="AC227"/>
      <c r="AD227"/>
      <c r="AE227"/>
      <c r="AF227"/>
      <c r="AG227"/>
    </row>
    <row r="228" spans="1:33" ht="12.75" outlineLevel="1">
      <c r="A228" s="166" t="s">
        <v>430</v>
      </c>
      <c r="B228" s="581">
        <f>NPV(0.1,D228:Y228)</f>
        <v>432622.10716397571</v>
      </c>
      <c r="C228" s="581">
        <f>B228-B218</f>
        <v>-8092.2999253208982</v>
      </c>
      <c r="D228" s="585">
        <v>25974.454407266276</v>
      </c>
      <c r="E228" s="586">
        <v>35952.15973833076</v>
      </c>
      <c r="F228" s="586">
        <v>36224.244333074603</v>
      </c>
      <c r="G228" s="586">
        <v>36450.971576927695</v>
      </c>
      <c r="H228" s="586">
        <v>45696.616433241143</v>
      </c>
      <c r="I228" s="586">
        <v>53367.79275089367</v>
      </c>
      <c r="J228" s="586">
        <v>54747.725939037831</v>
      </c>
      <c r="K228" s="586">
        <v>55790.662224632935</v>
      </c>
      <c r="L228" s="586">
        <v>56946.762139159662</v>
      </c>
      <c r="M228" s="586">
        <v>58215.403189487442</v>
      </c>
      <c r="N228" s="586">
        <v>59631.405993722634</v>
      </c>
      <c r="O228" s="587">
        <v>61197.302395346138</v>
      </c>
      <c r="P228" s="167">
        <v>63049.960862644417</v>
      </c>
      <c r="Q228" s="167">
        <v>64988.311414700838</v>
      </c>
      <c r="R228" s="167">
        <v>67005.463245085295</v>
      </c>
      <c r="S228" s="167">
        <v>69065.470178796168</v>
      </c>
      <c r="T228" s="167">
        <v>71150.418113738604</v>
      </c>
      <c r="U228" s="167">
        <v>72932.361477083105</v>
      </c>
      <c r="V228" s="167">
        <v>74676.441648807144</v>
      </c>
      <c r="W228" s="167">
        <v>76416.681000871395</v>
      </c>
      <c r="X228" s="167">
        <v>76649.875658946126</v>
      </c>
      <c r="Y228"/>
      <c r="Z228"/>
      <c r="AA228"/>
      <c r="AB228"/>
      <c r="AC228"/>
      <c r="AD228"/>
      <c r="AE228"/>
      <c r="AF228"/>
      <c r="AG228"/>
    </row>
    <row r="229" spans="1:33" ht="12.75">
      <c r="A229" s="168" t="s">
        <v>431</v>
      </c>
      <c r="B229" s="581">
        <f>NPV(0.1,D229:Y229)</f>
        <v>218861.79742563536</v>
      </c>
      <c r="C229" s="581">
        <f>B229-B219</f>
        <v>-3309.2347897501604</v>
      </c>
      <c r="D229" s="585">
        <v>17394.771118973491</v>
      </c>
      <c r="E229" s="586">
        <v>21554.949627958067</v>
      </c>
      <c r="F229" s="586">
        <v>21898.822011148659</v>
      </c>
      <c r="G229" s="586">
        <v>22200.153031202834</v>
      </c>
      <c r="H229" s="586">
        <v>22564.748020318384</v>
      </c>
      <c r="I229" s="586">
        <v>23003.462240938366</v>
      </c>
      <c r="J229" s="586">
        <v>23536.467156774997</v>
      </c>
      <c r="K229" s="586">
        <v>24182.008405262248</v>
      </c>
      <c r="L229" s="586">
        <v>24947.565880070055</v>
      </c>
      <c r="M229" s="586">
        <v>25833.22784466056</v>
      </c>
      <c r="N229" s="586">
        <v>26869.186996980923</v>
      </c>
      <c r="O229" s="587">
        <v>28846.682098756137</v>
      </c>
      <c r="P229" s="167">
        <v>30141.127756963699</v>
      </c>
      <c r="Q229" s="167">
        <v>31507.626830481146</v>
      </c>
      <c r="R229" s="167">
        <v>32944.196791075592</v>
      </c>
      <c r="S229" s="167">
        <v>34443.821533274568</v>
      </c>
      <c r="T229" s="167">
        <v>35944.5886882743</v>
      </c>
      <c r="U229" s="167">
        <v>37450.259548897659</v>
      </c>
      <c r="V229" s="167">
        <v>38943.100537419974</v>
      </c>
      <c r="W229" s="167">
        <v>40556.556936980138</v>
      </c>
      <c r="X229" s="167">
        <v>40414.171119075603</v>
      </c>
      <c r="Y229"/>
      <c r="Z229"/>
      <c r="AA229"/>
      <c r="AB229"/>
      <c r="AC229"/>
      <c r="AD229"/>
      <c r="AE229"/>
      <c r="AF229"/>
      <c r="AG229"/>
    </row>
    <row r="230" spans="1:33" ht="12.75">
      <c r="A230" s="168" t="s">
        <v>34</v>
      </c>
      <c r="B230" s="581">
        <f>NPV(0.1,D230:Y230)</f>
        <v>83005.841260774294</v>
      </c>
      <c r="C230" s="581">
        <f>B230-B220</f>
        <v>-2401.0427074276813</v>
      </c>
      <c r="D230" s="585">
        <v>892.3013145190215</v>
      </c>
      <c r="E230" s="586">
        <v>1399.8830381810606</v>
      </c>
      <c r="F230" s="586">
        <v>1460.7489294190025</v>
      </c>
      <c r="G230" s="586">
        <v>1525.7594273471095</v>
      </c>
      <c r="H230" s="586">
        <v>7059.9300966081764</v>
      </c>
      <c r="I230" s="586">
        <v>11817.988095313511</v>
      </c>
      <c r="J230" s="586">
        <v>12698.624970010345</v>
      </c>
      <c r="K230" s="586">
        <v>13244.155272063586</v>
      </c>
      <c r="L230" s="586">
        <v>13817.019445572034</v>
      </c>
      <c r="M230" s="586">
        <v>14419.16716436915</v>
      </c>
      <c r="N230" s="586">
        <v>15056.063422718164</v>
      </c>
      <c r="O230" s="587">
        <v>15237.462569131181</v>
      </c>
      <c r="P230" s="167">
        <v>16052.171934471249</v>
      </c>
      <c r="Q230" s="167">
        <v>16923.695076831558</v>
      </c>
      <c r="R230" s="167">
        <v>17853.095678773781</v>
      </c>
      <c r="S230" s="167">
        <v>18859.878348342769</v>
      </c>
      <c r="T230" s="167">
        <v>19248.852120352571</v>
      </c>
      <c r="U230" s="167">
        <v>19421.582869163256</v>
      </c>
      <c r="V230" s="167">
        <v>19578.662317235656</v>
      </c>
      <c r="W230" s="167">
        <v>19657.929396321571</v>
      </c>
      <c r="X230" s="167">
        <v>19892.749352037732</v>
      </c>
      <c r="Y230"/>
      <c r="Z230"/>
      <c r="AA230"/>
      <c r="AB230"/>
      <c r="AC230"/>
      <c r="AD230"/>
      <c r="AE230"/>
      <c r="AF230"/>
      <c r="AG230"/>
    </row>
    <row r="231" spans="1:33" ht="12.75">
      <c r="A231" s="168" t="s">
        <v>31</v>
      </c>
      <c r="B231" s="581">
        <f>NPV(0.1,D231:Y231)</f>
        <v>98757.219301700316</v>
      </c>
      <c r="C231" s="581">
        <f>B231-B221</f>
        <v>-1626.2207986654976</v>
      </c>
      <c r="D231" s="588">
        <v>2967.1404705345876</v>
      </c>
      <c r="E231" s="589">
        <v>5518.3413247301069</v>
      </c>
      <c r="F231" s="589">
        <v>4943.3134790284876</v>
      </c>
      <c r="G231" s="589">
        <v>4917.5130064256155</v>
      </c>
      <c r="H231" s="589">
        <v>14157.37432894429</v>
      </c>
      <c r="I231" s="589">
        <v>18587.257363376724</v>
      </c>
      <c r="J231" s="589">
        <v>13422.663820297514</v>
      </c>
      <c r="K231" s="589">
        <v>12799.932598707568</v>
      </c>
      <c r="L231" s="589">
        <v>12678.584823824378</v>
      </c>
      <c r="M231" s="589">
        <v>12545.873158463452</v>
      </c>
      <c r="N231" s="589">
        <v>12372.983739953039</v>
      </c>
      <c r="O231" s="590">
        <v>12798.66414054585</v>
      </c>
      <c r="P231" s="167">
        <v>11785.839293468913</v>
      </c>
      <c r="Q231" s="167">
        <v>11585.609277559808</v>
      </c>
      <c r="R231" s="167">
        <v>16158.880190182135</v>
      </c>
      <c r="S231" s="167">
        <v>23245.409161584888</v>
      </c>
      <c r="T231" s="167">
        <v>21880.603778451215</v>
      </c>
      <c r="U231" s="167">
        <v>22036.991916305546</v>
      </c>
      <c r="V231" s="167">
        <v>22194.071364377949</v>
      </c>
      <c r="W231" s="167">
        <v>22371.394109201963</v>
      </c>
      <c r="X231" s="167">
        <v>22328.389678660169</v>
      </c>
      <c r="Y231"/>
      <c r="Z231"/>
      <c r="AA231"/>
      <c r="AB231"/>
      <c r="AC231"/>
      <c r="AD231"/>
      <c r="AE231"/>
      <c r="AF231"/>
      <c r="AG231"/>
    </row>
    <row r="232" spans="1:33" ht="12.75">
      <c r="A232" s="168"/>
      <c r="B232" s="812"/>
      <c r="C232" s="812"/>
      <c r="D232" s="586"/>
      <c r="E232" s="586"/>
      <c r="F232" s="586"/>
      <c r="G232" s="586"/>
      <c r="H232" s="586"/>
      <c r="I232" s="586"/>
      <c r="J232" s="586"/>
      <c r="K232" s="586"/>
      <c r="L232" s="586"/>
      <c r="M232" s="586"/>
      <c r="N232" s="586"/>
      <c r="O232" s="586"/>
      <c r="P232" s="167"/>
      <c r="Q232" s="167"/>
      <c r="R232" s="167"/>
      <c r="S232" s="167"/>
      <c r="T232" s="167"/>
      <c r="U232" s="167"/>
      <c r="V232" s="167"/>
      <c r="W232" s="167"/>
      <c r="X232" s="167"/>
      <c r="Y232"/>
      <c r="Z232"/>
      <c r="AA232"/>
      <c r="AB232"/>
      <c r="AC232"/>
      <c r="AD232"/>
      <c r="AE232"/>
      <c r="AF232"/>
      <c r="AG232"/>
    </row>
    <row r="233" spans="1:33" ht="12.75">
      <c r="A233" s="169" t="s">
        <v>544</v>
      </c>
      <c r="B233" s="812"/>
      <c r="D233" s="586"/>
      <c r="E233" s="586"/>
      <c r="F233" s="586"/>
      <c r="G233" s="586"/>
      <c r="H233" s="586"/>
      <c r="I233" s="586"/>
      <c r="J233" s="586"/>
      <c r="K233" s="586"/>
      <c r="L233" s="586"/>
      <c r="M233" s="586"/>
      <c r="N233" s="586"/>
      <c r="O233" s="586"/>
      <c r="P233" s="167"/>
      <c r="Q233" s="167"/>
      <c r="R233" s="167"/>
      <c r="S233" s="167"/>
      <c r="T233" s="167"/>
      <c r="U233" s="167"/>
      <c r="V233" s="167"/>
      <c r="W233" s="167"/>
      <c r="X233" s="167"/>
      <c r="Y233"/>
      <c r="Z233"/>
      <c r="AA233"/>
      <c r="AB233"/>
      <c r="AC233"/>
      <c r="AD233"/>
      <c r="AE233"/>
      <c r="AF233"/>
      <c r="AG233"/>
    </row>
    <row r="234" spans="1:33" ht="12.75">
      <c r="A234" s="416">
        <v>36258</v>
      </c>
      <c r="B234" s="163"/>
      <c r="C234" s="163"/>
      <c r="D234"/>
      <c r="E234"/>
      <c r="F234"/>
      <c r="G234"/>
      <c r="H234"/>
      <c r="I234"/>
      <c r="J234"/>
      <c r="K234"/>
      <c r="L234"/>
      <c r="M234"/>
      <c r="N234"/>
      <c r="O234"/>
      <c r="P234"/>
      <c r="Q234"/>
      <c r="R234"/>
      <c r="S234"/>
      <c r="T234"/>
      <c r="U234"/>
      <c r="V234"/>
      <c r="W234"/>
      <c r="X234"/>
      <c r="Y234"/>
      <c r="Z234"/>
      <c r="AA234"/>
      <c r="AB234"/>
      <c r="AC234"/>
      <c r="AD234"/>
      <c r="AE234"/>
      <c r="AF234"/>
      <c r="AG234"/>
    </row>
    <row r="235" spans="1:33" ht="12.75">
      <c r="A235" s="164" t="s">
        <v>427</v>
      </c>
      <c r="B235" s="172">
        <v>25547.320093842038</v>
      </c>
      <c r="C235" s="163" t="s">
        <v>534</v>
      </c>
      <c r="D235"/>
      <c r="E235"/>
      <c r="F235"/>
      <c r="G235"/>
      <c r="H235"/>
      <c r="I235"/>
      <c r="J235"/>
      <c r="K235"/>
      <c r="L235"/>
      <c r="M235"/>
      <c r="N235"/>
      <c r="O235"/>
      <c r="P235"/>
      <c r="Q235"/>
      <c r="R235"/>
      <c r="S235"/>
      <c r="T235"/>
      <c r="U235"/>
      <c r="V235"/>
      <c r="W235"/>
      <c r="X235"/>
      <c r="Y235"/>
      <c r="Z235"/>
      <c r="AA235"/>
      <c r="AB235"/>
      <c r="AC235"/>
      <c r="AD235"/>
      <c r="AE235"/>
      <c r="AF235"/>
      <c r="AG235"/>
    </row>
    <row r="236" spans="1:33" ht="12.75">
      <c r="A236" s="165" t="s">
        <v>428</v>
      </c>
      <c r="B236" s="173">
        <v>56648.641192730072</v>
      </c>
      <c r="C236" s="163"/>
      <c r="D236"/>
      <c r="E236"/>
      <c r="F236"/>
      <c r="G236"/>
      <c r="H236"/>
      <c r="I236"/>
      <c r="J236"/>
      <c r="K236"/>
      <c r="L236"/>
      <c r="M236"/>
      <c r="N236"/>
      <c r="O236"/>
      <c r="P236"/>
      <c r="Q236"/>
      <c r="R236"/>
      <c r="S236"/>
      <c r="T236"/>
      <c r="U236"/>
      <c r="V236"/>
      <c r="W236"/>
      <c r="X236"/>
      <c r="Y236"/>
      <c r="Z236"/>
      <c r="AA236"/>
      <c r="AB236"/>
      <c r="AC236"/>
      <c r="AD236"/>
      <c r="AE236"/>
      <c r="AF236"/>
      <c r="AG236"/>
    </row>
    <row r="237" spans="1:33" ht="12.75">
      <c r="A237" s="166" t="s">
        <v>429</v>
      </c>
      <c r="B237" s="580" t="s">
        <v>499</v>
      </c>
      <c r="C237" s="580" t="s">
        <v>500</v>
      </c>
      <c r="D237" s="582">
        <v>1999</v>
      </c>
      <c r="E237" s="583">
        <v>2000</v>
      </c>
      <c r="F237" s="583">
        <v>2001</v>
      </c>
      <c r="G237" s="583">
        <v>2002</v>
      </c>
      <c r="H237" s="583">
        <v>2003</v>
      </c>
      <c r="I237" s="583">
        <v>2004</v>
      </c>
      <c r="J237" s="583">
        <v>2005</v>
      </c>
      <c r="K237" s="583">
        <v>2006</v>
      </c>
      <c r="L237" s="583">
        <v>2007</v>
      </c>
      <c r="M237" s="583">
        <v>2008</v>
      </c>
      <c r="N237" s="583">
        <v>2009</v>
      </c>
      <c r="O237" s="584">
        <v>2010</v>
      </c>
      <c r="P237" s="171">
        <v>2011</v>
      </c>
      <c r="Q237" s="171">
        <v>2012</v>
      </c>
      <c r="R237" s="171">
        <v>2013</v>
      </c>
      <c r="S237" s="171">
        <v>2014</v>
      </c>
      <c r="T237" s="171">
        <v>2015</v>
      </c>
      <c r="U237" s="171">
        <v>2016</v>
      </c>
      <c r="V237" s="171">
        <v>2017</v>
      </c>
      <c r="W237" s="171">
        <v>2018</v>
      </c>
      <c r="X237" s="171">
        <v>2019</v>
      </c>
      <c r="Y237"/>
      <c r="Z237"/>
      <c r="AA237"/>
      <c r="AB237"/>
      <c r="AC237"/>
      <c r="AD237"/>
      <c r="AE237"/>
      <c r="AF237"/>
      <c r="AG237"/>
    </row>
    <row r="238" spans="1:33" ht="12.75">
      <c r="A238" s="166" t="s">
        <v>430</v>
      </c>
      <c r="B238" s="581">
        <f>NPV(0.1,D238:Y238)</f>
        <v>418177.49797871057</v>
      </c>
      <c r="C238" s="581">
        <f>B238-B228</f>
        <v>-14444.609185265144</v>
      </c>
      <c r="D238" s="585">
        <v>30097.725876759996</v>
      </c>
      <c r="E238" s="586">
        <v>37840.006663959997</v>
      </c>
      <c r="F238" s="586">
        <v>37854.715874775997</v>
      </c>
      <c r="G238" s="586">
        <v>37869.866361916473</v>
      </c>
      <c r="H238" s="586">
        <v>46835.559046238232</v>
      </c>
      <c r="I238" s="586">
        <v>54149.377061394473</v>
      </c>
      <c r="J238" s="586">
        <v>55094.545816537706</v>
      </c>
      <c r="K238" s="586">
        <v>55589.833728812679</v>
      </c>
      <c r="L238" s="586">
        <v>56082.176074262352</v>
      </c>
      <c r="M238" s="586">
        <v>56570.950359756142</v>
      </c>
      <c r="N238" s="586">
        <v>57055.499393585815</v>
      </c>
      <c r="O238" s="587">
        <v>57535.129763794568</v>
      </c>
      <c r="P238" s="167">
        <v>58146.709938668893</v>
      </c>
      <c r="Q238" s="167">
        <v>58760.125556921339</v>
      </c>
      <c r="R238" s="167">
        <v>59374.936322997222</v>
      </c>
      <c r="S238" s="167">
        <v>59990.6738717095</v>
      </c>
      <c r="T238" s="167">
        <v>60606.8404803269</v>
      </c>
      <c r="U238" s="167">
        <v>60903.876240157901</v>
      </c>
      <c r="V238" s="167">
        <v>61181.110238819529</v>
      </c>
      <c r="W238" s="167">
        <v>61437.087038457801</v>
      </c>
      <c r="X238" s="167">
        <v>42867.782059772529</v>
      </c>
      <c r="Y238"/>
      <c r="Z238"/>
      <c r="AA238"/>
      <c r="AB238"/>
      <c r="AC238"/>
      <c r="AD238"/>
      <c r="AE238"/>
      <c r="AF238"/>
      <c r="AG238"/>
    </row>
    <row r="239" spans="1:33" ht="12.75">
      <c r="A239" s="168" t="s">
        <v>431</v>
      </c>
      <c r="B239" s="581">
        <f>NPV(0.1,D239:Y239)</f>
        <v>204417.18824037031</v>
      </c>
      <c r="C239" s="581">
        <f>B239-B229</f>
        <v>-14444.609185265057</v>
      </c>
      <c r="D239" s="585">
        <v>21518.042588467208</v>
      </c>
      <c r="E239" s="586">
        <v>23442.796553587301</v>
      </c>
      <c r="F239" s="586">
        <v>23529.293552850046</v>
      </c>
      <c r="G239" s="586">
        <v>23619.047816191614</v>
      </c>
      <c r="H239" s="586">
        <v>23703.690633315477</v>
      </c>
      <c r="I239" s="586">
        <v>23785.046551439169</v>
      </c>
      <c r="J239" s="586">
        <v>23883.287034274879</v>
      </c>
      <c r="K239" s="586">
        <v>23981.179909441991</v>
      </c>
      <c r="L239" s="586">
        <v>24082.979815172741</v>
      </c>
      <c r="M239" s="586">
        <v>24188.775014929259</v>
      </c>
      <c r="N239" s="586">
        <v>24293.280396844108</v>
      </c>
      <c r="O239" s="587">
        <v>25184.509467204574</v>
      </c>
      <c r="P239" s="167">
        <v>25237.876832988175</v>
      </c>
      <c r="Q239" s="167">
        <v>25279.440972701646</v>
      </c>
      <c r="R239" s="167">
        <v>25313.669868987516</v>
      </c>
      <c r="S239" s="167">
        <v>25369.025226187903</v>
      </c>
      <c r="T239" s="167">
        <v>25401.011054862593</v>
      </c>
      <c r="U239" s="167">
        <v>25421.774311972447</v>
      </c>
      <c r="V239" s="167">
        <v>25447.769127432348</v>
      </c>
      <c r="W239" s="167">
        <v>25576.962974566552</v>
      </c>
      <c r="X239" s="167">
        <v>6632.0775199020154</v>
      </c>
      <c r="Y239"/>
      <c r="Z239"/>
      <c r="AA239"/>
      <c r="AB239"/>
      <c r="AC239"/>
      <c r="AD239"/>
      <c r="AE239"/>
      <c r="AF239"/>
      <c r="AG239"/>
    </row>
    <row r="240" spans="1:33" ht="12.75">
      <c r="A240" s="168" t="s">
        <v>34</v>
      </c>
      <c r="B240" s="581">
        <f>NPV(0.1,D240:Y240)</f>
        <v>83005.841260774294</v>
      </c>
      <c r="C240" s="581">
        <f>B240-B230</f>
        <v>0</v>
      </c>
      <c r="D240" s="585">
        <v>892.30131451902378</v>
      </c>
      <c r="E240" s="586">
        <v>1399.8830381810621</v>
      </c>
      <c r="F240" s="586">
        <v>1460.7489294190068</v>
      </c>
      <c r="G240" s="586">
        <v>1525.7594273471075</v>
      </c>
      <c r="H240" s="586">
        <v>7059.9300966081728</v>
      </c>
      <c r="I240" s="586">
        <v>11817.988095313511</v>
      </c>
      <c r="J240" s="586">
        <v>12698.624970010342</v>
      </c>
      <c r="K240" s="586">
        <v>13244.155272063586</v>
      </c>
      <c r="L240" s="586">
        <v>13817.019445572036</v>
      </c>
      <c r="M240" s="586">
        <v>14419.16716436915</v>
      </c>
      <c r="N240" s="586">
        <v>15056.06342271816</v>
      </c>
      <c r="O240" s="587">
        <v>15237.462569131178</v>
      </c>
      <c r="P240" s="167">
        <v>16052.171934471249</v>
      </c>
      <c r="Q240" s="167">
        <v>16923.695076831558</v>
      </c>
      <c r="R240" s="167">
        <v>17853.095678773781</v>
      </c>
      <c r="S240" s="167">
        <v>18859.878348342761</v>
      </c>
      <c r="T240" s="167">
        <v>19248.852120352574</v>
      </c>
      <c r="U240" s="167">
        <v>19421.58286916326</v>
      </c>
      <c r="V240" s="167">
        <v>19578.662317235667</v>
      </c>
      <c r="W240" s="167">
        <v>19657.929396321568</v>
      </c>
      <c r="X240" s="167">
        <v>19892.749352037732</v>
      </c>
      <c r="Y240"/>
      <c r="Z240"/>
      <c r="AA240"/>
      <c r="AB240"/>
      <c r="AC240"/>
      <c r="AD240"/>
      <c r="AE240"/>
      <c r="AF240"/>
      <c r="AG240"/>
    </row>
    <row r="241" spans="1:33" ht="12.75">
      <c r="A241" s="168" t="s">
        <v>31</v>
      </c>
      <c r="B241" s="581">
        <f>NPV(0.1,D241:Y241)</f>
        <v>98757.219301700316</v>
      </c>
      <c r="C241" s="581">
        <f>B241-B231</f>
        <v>0</v>
      </c>
      <c r="D241" s="588">
        <v>2967.140470534589</v>
      </c>
      <c r="E241" s="589">
        <v>5518.3413247301087</v>
      </c>
      <c r="F241" s="589">
        <v>4943.3134790284912</v>
      </c>
      <c r="G241" s="589">
        <v>4917.5130064256136</v>
      </c>
      <c r="H241" s="589">
        <v>14157.374328944283</v>
      </c>
      <c r="I241" s="589">
        <v>18587.257363376724</v>
      </c>
      <c r="J241" s="589">
        <v>13422.663820297512</v>
      </c>
      <c r="K241" s="589">
        <v>12799.932598707572</v>
      </c>
      <c r="L241" s="589">
        <v>12678.58482382438</v>
      </c>
      <c r="M241" s="589">
        <v>12545.873158463459</v>
      </c>
      <c r="N241" s="589">
        <v>12372.983739953033</v>
      </c>
      <c r="O241" s="590">
        <v>12798.664140545845</v>
      </c>
      <c r="P241" s="167">
        <v>11785.839293468909</v>
      </c>
      <c r="Q241" s="167">
        <v>11585.609277559815</v>
      </c>
      <c r="R241" s="167">
        <v>16158.880190182135</v>
      </c>
      <c r="S241" s="167">
        <v>23245.409161584881</v>
      </c>
      <c r="T241" s="167">
        <v>21880.603778451219</v>
      </c>
      <c r="U241" s="167">
        <v>22036.991916305549</v>
      </c>
      <c r="V241" s="167">
        <v>22194.07136437796</v>
      </c>
      <c r="W241" s="167">
        <v>22371.39410920196</v>
      </c>
      <c r="X241" s="167">
        <v>22328.389678660165</v>
      </c>
      <c r="Y241"/>
      <c r="Z241"/>
      <c r="AA241"/>
      <c r="AB241"/>
      <c r="AC241"/>
      <c r="AD241"/>
      <c r="AE241"/>
      <c r="AF241"/>
      <c r="AG241"/>
    </row>
    <row r="242" spans="1:33" ht="12.75">
      <c r="A242" s="163"/>
      <c r="B242" s="163"/>
      <c r="C242" s="163"/>
      <c r="D242"/>
      <c r="E242"/>
      <c r="F242"/>
      <c r="G242"/>
      <c r="H242"/>
      <c r="I242"/>
      <c r="J242"/>
      <c r="K242"/>
      <c r="L242"/>
      <c r="M242"/>
      <c r="N242"/>
      <c r="O242"/>
      <c r="P242"/>
      <c r="Q242"/>
      <c r="R242"/>
      <c r="S242"/>
      <c r="T242"/>
      <c r="U242"/>
      <c r="V242"/>
      <c r="W242"/>
      <c r="X242"/>
      <c r="Y242"/>
      <c r="Z242"/>
      <c r="AA242"/>
      <c r="AB242"/>
      <c r="AC242"/>
      <c r="AD242"/>
      <c r="AE242"/>
      <c r="AF242"/>
      <c r="AG242"/>
    </row>
    <row r="243" spans="1:33" ht="12.75">
      <c r="A243" s="169" t="s">
        <v>567</v>
      </c>
      <c r="B243" s="163"/>
      <c r="C243" s="163"/>
      <c r="D243"/>
      <c r="E243"/>
      <c r="F243"/>
      <c r="G243"/>
      <c r="H243"/>
      <c r="I243"/>
      <c r="J243"/>
      <c r="K243"/>
      <c r="L243"/>
      <c r="M243"/>
      <c r="N243"/>
      <c r="O243"/>
      <c r="P243"/>
      <c r="Q243"/>
      <c r="R243"/>
      <c r="S243"/>
      <c r="T243"/>
      <c r="U243"/>
      <c r="V243"/>
      <c r="W243"/>
      <c r="X243"/>
      <c r="Y243"/>
      <c r="Z243"/>
      <c r="AA243"/>
      <c r="AB243"/>
      <c r="AC243"/>
      <c r="AD243"/>
      <c r="AE243"/>
      <c r="AF243"/>
      <c r="AG243"/>
    </row>
    <row r="244" spans="1:33" ht="12.75">
      <c r="A244" s="416">
        <v>36263</v>
      </c>
      <c r="B244" s="163"/>
      <c r="C244" s="163"/>
      <c r="D244"/>
      <c r="E244"/>
      <c r="F244"/>
      <c r="G244"/>
      <c r="H244"/>
      <c r="I244"/>
      <c r="J244"/>
      <c r="K244"/>
      <c r="L244"/>
      <c r="M244"/>
      <c r="N244"/>
      <c r="O244"/>
      <c r="P244"/>
      <c r="Q244"/>
      <c r="R244"/>
      <c r="S244"/>
      <c r="T244"/>
      <c r="U244"/>
      <c r="V244"/>
      <c r="W244"/>
      <c r="X244"/>
      <c r="Y244"/>
      <c r="Z244"/>
      <c r="AA244"/>
      <c r="AB244"/>
      <c r="AC244"/>
      <c r="AD244"/>
      <c r="AE244"/>
      <c r="AF244"/>
      <c r="AG244"/>
    </row>
    <row r="245" spans="1:33" ht="12.75">
      <c r="A245" s="164" t="s">
        <v>427</v>
      </c>
      <c r="B245" s="172">
        <v>32624.328558857535</v>
      </c>
      <c r="C245" s="163" t="s">
        <v>534</v>
      </c>
      <c r="D245"/>
      <c r="E245"/>
      <c r="F245"/>
      <c r="G245"/>
      <c r="H245"/>
      <c r="I245"/>
      <c r="J245"/>
      <c r="K245"/>
      <c r="L245"/>
      <c r="M245"/>
      <c r="N245"/>
      <c r="O245"/>
      <c r="P245"/>
      <c r="Q245"/>
      <c r="R245"/>
      <c r="S245"/>
      <c r="T245"/>
      <c r="U245"/>
      <c r="V245"/>
      <c r="W245"/>
      <c r="X245"/>
      <c r="Y245"/>
      <c r="Z245"/>
      <c r="AA245"/>
      <c r="AB245"/>
      <c r="AC245"/>
      <c r="AD245"/>
      <c r="AE245"/>
      <c r="AF245"/>
      <c r="AG245"/>
    </row>
    <row r="246" spans="1:33" ht="12.75">
      <c r="A246" s="165" t="s">
        <v>428</v>
      </c>
      <c r="B246" s="173">
        <v>66267.614846621553</v>
      </c>
      <c r="C246" s="163"/>
      <c r="D246"/>
      <c r="E246"/>
      <c r="F246"/>
      <c r="G246"/>
      <c r="H246"/>
      <c r="I246"/>
      <c r="J246"/>
      <c r="K246"/>
      <c r="L246"/>
      <c r="M246"/>
      <c r="N246"/>
      <c r="O246"/>
      <c r="P246"/>
      <c r="Q246"/>
      <c r="R246"/>
      <c r="S246"/>
      <c r="T246"/>
      <c r="U246"/>
      <c r="V246"/>
      <c r="W246"/>
      <c r="X246"/>
      <c r="Y246"/>
      <c r="Z246"/>
      <c r="AA246"/>
      <c r="AB246"/>
      <c r="AC246"/>
      <c r="AD246"/>
      <c r="AE246"/>
      <c r="AF246"/>
      <c r="AG246"/>
    </row>
    <row r="247" spans="1:33" ht="12.75">
      <c r="A247" s="166" t="s">
        <v>429</v>
      </c>
      <c r="B247" s="580" t="s">
        <v>499</v>
      </c>
      <c r="C247" s="580" t="s">
        <v>500</v>
      </c>
      <c r="D247" s="582">
        <v>1999</v>
      </c>
      <c r="E247" s="583">
        <v>2000</v>
      </c>
      <c r="F247" s="583">
        <v>2001</v>
      </c>
      <c r="G247" s="583">
        <v>2002</v>
      </c>
      <c r="H247" s="583">
        <v>2003</v>
      </c>
      <c r="I247" s="583">
        <v>2004</v>
      </c>
      <c r="J247" s="583">
        <v>2005</v>
      </c>
      <c r="K247" s="583">
        <v>2006</v>
      </c>
      <c r="L247" s="583">
        <v>2007</v>
      </c>
      <c r="M247" s="583">
        <v>2008</v>
      </c>
      <c r="N247" s="583">
        <v>2009</v>
      </c>
      <c r="O247" s="584">
        <v>2010</v>
      </c>
      <c r="P247" s="171">
        <v>2011</v>
      </c>
      <c r="Q247" s="171">
        <v>2012</v>
      </c>
      <c r="R247" s="171">
        <v>2013</v>
      </c>
      <c r="S247" s="171">
        <v>2014</v>
      </c>
      <c r="T247" s="171">
        <v>2015</v>
      </c>
      <c r="U247" s="171">
        <v>2016</v>
      </c>
      <c r="V247" s="171">
        <v>2017</v>
      </c>
      <c r="W247" s="171">
        <v>2018</v>
      </c>
      <c r="X247" s="171">
        <v>2019</v>
      </c>
      <c r="Y247"/>
      <c r="Z247"/>
      <c r="AA247"/>
      <c r="AB247"/>
      <c r="AC247"/>
      <c r="AD247"/>
      <c r="AE247"/>
      <c r="AF247"/>
      <c r="AG247"/>
    </row>
    <row r="248" spans="1:33" ht="12.75">
      <c r="A248" s="166" t="s">
        <v>430</v>
      </c>
      <c r="B248" s="581">
        <f>NPV(0.1,D248:Y248)</f>
        <v>428603.0219550684</v>
      </c>
      <c r="C248" s="581">
        <f>B248-B238</f>
        <v>10425.523976357828</v>
      </c>
      <c r="D248" s="585">
        <v>30674.269821759997</v>
      </c>
      <c r="E248" s="586">
        <v>37905.029008960002</v>
      </c>
      <c r="F248" s="586">
        <v>37961.430971776004</v>
      </c>
      <c r="G248" s="586">
        <v>38019.52499347648</v>
      </c>
      <c r="H248" s="586">
        <v>47802.249518395023</v>
      </c>
      <c r="I248" s="586">
        <v>55713.626329365979</v>
      </c>
      <c r="J248" s="586">
        <v>56705.720644198365</v>
      </c>
      <c r="K248" s="586">
        <v>57249.341882953151</v>
      </c>
      <c r="L248" s="586">
        <v>57791.467554677038</v>
      </c>
      <c r="M248" s="586">
        <v>58331.518666233256</v>
      </c>
      <c r="N248" s="586">
        <v>58868.882830907249</v>
      </c>
      <c r="O248" s="587">
        <v>59402.912785885659</v>
      </c>
      <c r="P248" s="167">
        <v>60070.524533072705</v>
      </c>
      <c r="Q248" s="167">
        <v>60741.652670807263</v>
      </c>
      <c r="R248" s="167">
        <v>61415.907331949718</v>
      </c>
      <c r="S248" s="167">
        <v>62092.872092580583</v>
      </c>
      <c r="T248" s="167">
        <v>62772.102729474114</v>
      </c>
      <c r="U248" s="167">
        <v>63134.094438429522</v>
      </c>
      <c r="V248" s="167">
        <v>63478.233064689295</v>
      </c>
      <c r="W248" s="167">
        <v>63803.121630753674</v>
      </c>
      <c r="X248" s="167">
        <v>45566.906326487275</v>
      </c>
      <c r="Y248"/>
      <c r="Z248"/>
      <c r="AA248"/>
      <c r="AB248"/>
      <c r="AC248"/>
      <c r="AD248"/>
      <c r="AE248"/>
      <c r="AF248"/>
      <c r="AG248"/>
    </row>
    <row r="249" spans="1:33" ht="12.75">
      <c r="A249" s="168" t="s">
        <v>431</v>
      </c>
      <c r="B249" s="581">
        <f>NPV(0.1,D249:Y249)</f>
        <v>204933.13378441951</v>
      </c>
      <c r="C249" s="581">
        <f>B249-B239</f>
        <v>515.945544049202</v>
      </c>
      <c r="D249" s="585">
        <v>22080.674157077276</v>
      </c>
      <c r="E249" s="586">
        <v>23443.584577617436</v>
      </c>
      <c r="F249" s="586">
        <v>23530.301041989023</v>
      </c>
      <c r="G249" s="586">
        <v>23620.252690292065</v>
      </c>
      <c r="H249" s="586">
        <v>23704.33128240849</v>
      </c>
      <c r="I249" s="586">
        <v>23784.542977917456</v>
      </c>
      <c r="J249" s="586">
        <v>23883.738842518716</v>
      </c>
      <c r="K249" s="586">
        <v>23981.64174772512</v>
      </c>
      <c r="L249" s="586">
        <v>24083.451984396339</v>
      </c>
      <c r="M249" s="586">
        <v>24189.257825021541</v>
      </c>
      <c r="N249" s="586">
        <v>24293.774167031133</v>
      </c>
      <c r="O249" s="587">
        <v>25185.014526289186</v>
      </c>
      <c r="P249" s="167">
        <v>25238.393519637302</v>
      </c>
      <c r="Q249" s="167">
        <v>25279.969635742222</v>
      </c>
      <c r="R249" s="167">
        <v>25314.157339110476</v>
      </c>
      <c r="S249" s="167">
        <v>25369.525402064548</v>
      </c>
      <c r="T249" s="167">
        <v>25401.524317665542</v>
      </c>
      <c r="U249" s="167">
        <v>25422.301054309482</v>
      </c>
      <c r="V249" s="167">
        <v>25448.309753689497</v>
      </c>
      <c r="W249" s="167">
        <v>25577.517901261413</v>
      </c>
      <c r="X249" s="167">
        <v>6632.5832310477226</v>
      </c>
      <c r="Y249"/>
      <c r="Z249"/>
      <c r="AA249"/>
      <c r="AB249"/>
      <c r="AC249"/>
      <c r="AD249"/>
      <c r="AE249"/>
      <c r="AF249"/>
      <c r="AG249"/>
    </row>
    <row r="250" spans="1:33" ht="12.75">
      <c r="A250" s="168" t="s">
        <v>34</v>
      </c>
      <c r="B250" s="581">
        <f>NPV(0.1,D250:Y250)</f>
        <v>87865.514900351103</v>
      </c>
      <c r="C250" s="581">
        <f>B250-B240</f>
        <v>4859.6736395768094</v>
      </c>
      <c r="D250" s="585">
        <v>794.94671594671968</v>
      </c>
      <c r="E250" s="586">
        <v>1250.4633725867093</v>
      </c>
      <c r="F250" s="586">
        <v>1324.6160199170663</v>
      </c>
      <c r="G250" s="586">
        <v>1404.0524203871448</v>
      </c>
      <c r="H250" s="586">
        <v>7430.2066111557178</v>
      </c>
      <c r="I250" s="586">
        <v>12562.976831307184</v>
      </c>
      <c r="J250" s="586">
        <v>13484.608712960702</v>
      </c>
      <c r="K250" s="586">
        <v>14074.493893686398</v>
      </c>
      <c r="L250" s="586">
        <v>14694.705572948933</v>
      </c>
      <c r="M250" s="586">
        <v>15347.416161851934</v>
      </c>
      <c r="N250" s="586">
        <v>16038.330710723543</v>
      </c>
      <c r="O250" s="587">
        <v>16277.46231343344</v>
      </c>
      <c r="P250" s="167">
        <v>17153.897215182558</v>
      </c>
      <c r="Q250" s="167">
        <v>18091.439654981354</v>
      </c>
      <c r="R250" s="167">
        <v>19091.510954902224</v>
      </c>
      <c r="S250" s="167">
        <v>20173.89937291163</v>
      </c>
      <c r="T250" s="167">
        <v>20602.293775658502</v>
      </c>
      <c r="U250" s="167">
        <v>20815.627774128363</v>
      </c>
      <c r="V250" s="167">
        <v>21014.528569349721</v>
      </c>
      <c r="W250" s="167">
        <v>21136.87163599905</v>
      </c>
      <c r="X250" s="167">
        <v>21579.976272077409</v>
      </c>
      <c r="Y250"/>
      <c r="Z250"/>
      <c r="AA250"/>
      <c r="AB250"/>
      <c r="AC250"/>
      <c r="AD250"/>
      <c r="AE250"/>
      <c r="AF250"/>
      <c r="AG250"/>
    </row>
    <row r="251" spans="1:33" ht="12.75">
      <c r="A251" s="168" t="s">
        <v>31</v>
      </c>
      <c r="B251" s="581">
        <f>NPV(0.1,D251:Y251)</f>
        <v>102670.005865249</v>
      </c>
      <c r="C251" s="581">
        <f>B251-B241</f>
        <v>3912.7865635486814</v>
      </c>
      <c r="D251" s="588">
        <v>2971.9518340361092</v>
      </c>
      <c r="E251" s="589">
        <v>5540.5556940655206</v>
      </c>
      <c r="F251" s="589">
        <v>4979.8706934137645</v>
      </c>
      <c r="G251" s="589">
        <v>4968.8532642137106</v>
      </c>
      <c r="H251" s="589">
        <v>14749.07984557085</v>
      </c>
      <c r="I251" s="589">
        <v>19545.668478791318</v>
      </c>
      <c r="J251" s="589">
        <v>13544.109700588931</v>
      </c>
      <c r="K251" s="589">
        <v>13301.75915903947</v>
      </c>
      <c r="L251" s="589">
        <v>13181.568726873595</v>
      </c>
      <c r="M251" s="589">
        <v>13048.937279594851</v>
      </c>
      <c r="N251" s="589">
        <v>12874.929693199081</v>
      </c>
      <c r="O251" s="590">
        <v>13298.161524959194</v>
      </c>
      <c r="P251" s="167">
        <v>12281.414047600914</v>
      </c>
      <c r="Q251" s="167">
        <v>12075.631069767687</v>
      </c>
      <c r="R251" s="167">
        <v>16662.972262622923</v>
      </c>
      <c r="S251" s="167">
        <v>24559.43018615375</v>
      </c>
      <c r="T251" s="167">
        <v>23234.045433757146</v>
      </c>
      <c r="U251" s="167">
        <v>23431.036821270653</v>
      </c>
      <c r="V251" s="167">
        <v>23629.93761649201</v>
      </c>
      <c r="W251" s="167">
        <v>23850.336348879442</v>
      </c>
      <c r="X251" s="167">
        <v>24015.616598699846</v>
      </c>
      <c r="Y251"/>
      <c r="Z251"/>
      <c r="AA251"/>
      <c r="AB251"/>
      <c r="AC251"/>
      <c r="AD251"/>
      <c r="AE251"/>
      <c r="AF251"/>
      <c r="AG251"/>
    </row>
    <row r="252" spans="1:33" ht="12.75">
      <c r="A252" s="163"/>
      <c r="B252" s="163"/>
      <c r="C252" s="163"/>
      <c r="D252"/>
      <c r="E252"/>
      <c r="F252"/>
      <c r="G252"/>
      <c r="H252"/>
      <c r="I252"/>
      <c r="J252"/>
      <c r="K252"/>
      <c r="L252"/>
      <c r="M252"/>
      <c r="N252"/>
      <c r="O252"/>
      <c r="P252"/>
      <c r="Q252"/>
      <c r="R252"/>
      <c r="S252"/>
      <c r="T252"/>
      <c r="U252"/>
      <c r="V252"/>
      <c r="W252"/>
      <c r="X252"/>
      <c r="Y252"/>
      <c r="Z252"/>
      <c r="AA252"/>
      <c r="AB252"/>
      <c r="AC252"/>
      <c r="AD252"/>
      <c r="AE252"/>
      <c r="AF252"/>
      <c r="AG252"/>
    </row>
    <row r="253" spans="1:33" ht="12.75">
      <c r="A253" s="169" t="s">
        <v>568</v>
      </c>
      <c r="B253" s="163"/>
      <c r="C253" s="163"/>
      <c r="D253"/>
      <c r="E253"/>
      <c r="F253"/>
      <c r="G253"/>
      <c r="H253"/>
      <c r="I253"/>
      <c r="J253"/>
      <c r="K253"/>
      <c r="L253"/>
      <c r="M253"/>
      <c r="N253"/>
      <c r="O253"/>
      <c r="P253"/>
      <c r="Q253"/>
      <c r="R253"/>
      <c r="S253"/>
      <c r="T253"/>
      <c r="U253"/>
      <c r="V253"/>
      <c r="W253"/>
      <c r="X253"/>
      <c r="Y253"/>
      <c r="Z253"/>
      <c r="AA253"/>
      <c r="AB253"/>
      <c r="AC253"/>
      <c r="AD253"/>
      <c r="AE253"/>
      <c r="AF253"/>
      <c r="AG253"/>
    </row>
    <row r="254" spans="1:33" ht="12.75">
      <c r="A254" s="416">
        <v>36264</v>
      </c>
      <c r="B254" s="163"/>
      <c r="C254" s="163"/>
      <c r="D254"/>
      <c r="E254"/>
      <c r="F254"/>
      <c r="G254"/>
      <c r="H254"/>
      <c r="I254"/>
      <c r="J254"/>
      <c r="K254"/>
      <c r="L254"/>
      <c r="M254"/>
      <c r="N254"/>
      <c r="O254"/>
      <c r="P254"/>
      <c r="Q254"/>
      <c r="R254"/>
      <c r="S254"/>
      <c r="T254"/>
      <c r="U254"/>
      <c r="V254"/>
      <c r="W254"/>
      <c r="X254"/>
      <c r="Y254"/>
      <c r="Z254"/>
      <c r="AA254"/>
      <c r="AB254"/>
      <c r="AC254"/>
      <c r="AD254"/>
      <c r="AE254"/>
      <c r="AF254"/>
      <c r="AG254"/>
    </row>
    <row r="255" spans="1:33" ht="12.75">
      <c r="A255" s="164" t="s">
        <v>427</v>
      </c>
      <c r="B255" s="172">
        <v>37981.498503670766</v>
      </c>
      <c r="C255" s="163" t="s">
        <v>534</v>
      </c>
      <c r="D255"/>
      <c r="E255"/>
      <c r="F255"/>
      <c r="G255"/>
      <c r="H255"/>
      <c r="I255"/>
      <c r="J255"/>
      <c r="K255"/>
      <c r="L255"/>
      <c r="M255"/>
      <c r="N255"/>
      <c r="O255"/>
      <c r="P255"/>
      <c r="Q255"/>
      <c r="R255"/>
      <c r="S255"/>
      <c r="T255"/>
      <c r="U255"/>
      <c r="V255"/>
      <c r="W255"/>
      <c r="X255"/>
      <c r="Y255"/>
      <c r="Z255"/>
      <c r="AA255"/>
      <c r="AB255"/>
      <c r="AC255"/>
      <c r="AD255"/>
      <c r="AE255"/>
      <c r="AF255"/>
      <c r="AG255"/>
    </row>
    <row r="256" spans="1:33" ht="12.75">
      <c r="A256" s="165" t="s">
        <v>428</v>
      </c>
      <c r="B256" s="173">
        <v>71878.693285010886</v>
      </c>
      <c r="C256" s="163"/>
      <c r="D256"/>
      <c r="E256"/>
      <c r="F256"/>
      <c r="G256"/>
      <c r="H256"/>
      <c r="I256"/>
      <c r="J256"/>
      <c r="K256"/>
      <c r="L256"/>
      <c r="M256"/>
      <c r="N256"/>
      <c r="O256"/>
      <c r="P256"/>
      <c r="Q256"/>
      <c r="R256"/>
      <c r="S256"/>
      <c r="T256"/>
      <c r="U256"/>
      <c r="V256"/>
      <c r="W256"/>
      <c r="X256"/>
      <c r="Y256"/>
      <c r="Z256"/>
      <c r="AA256"/>
      <c r="AB256"/>
      <c r="AC256"/>
      <c r="AD256"/>
      <c r="AE256"/>
      <c r="AF256"/>
      <c r="AG256"/>
    </row>
    <row r="257" spans="1:33" ht="12.75">
      <c r="A257" s="166" t="s">
        <v>429</v>
      </c>
      <c r="B257" s="580" t="s">
        <v>499</v>
      </c>
      <c r="C257" s="580" t="s">
        <v>500</v>
      </c>
      <c r="D257" s="582">
        <v>1999</v>
      </c>
      <c r="E257" s="583">
        <v>2000</v>
      </c>
      <c r="F257" s="583">
        <v>2001</v>
      </c>
      <c r="G257" s="583">
        <v>2002</v>
      </c>
      <c r="H257" s="583">
        <v>2003</v>
      </c>
      <c r="I257" s="583">
        <v>2004</v>
      </c>
      <c r="J257" s="583">
        <v>2005</v>
      </c>
      <c r="K257" s="583">
        <v>2006</v>
      </c>
      <c r="L257" s="583">
        <v>2007</v>
      </c>
      <c r="M257" s="583">
        <v>2008</v>
      </c>
      <c r="N257" s="583">
        <v>2009</v>
      </c>
      <c r="O257" s="584">
        <v>2010</v>
      </c>
      <c r="P257" s="171">
        <v>2011</v>
      </c>
      <c r="Q257" s="171">
        <v>2012</v>
      </c>
      <c r="R257" s="171">
        <v>2013</v>
      </c>
      <c r="S257" s="171">
        <v>2014</v>
      </c>
      <c r="T257" s="171">
        <v>2015</v>
      </c>
      <c r="U257" s="171">
        <v>2016</v>
      </c>
      <c r="V257" s="171">
        <v>2017</v>
      </c>
      <c r="W257" s="171">
        <v>2018</v>
      </c>
      <c r="X257" s="171">
        <v>2019</v>
      </c>
      <c r="Y257"/>
      <c r="Z257"/>
      <c r="AA257"/>
      <c r="AB257"/>
      <c r="AC257"/>
      <c r="AD257"/>
      <c r="AE257"/>
      <c r="AF257"/>
      <c r="AG257"/>
    </row>
    <row r="258" spans="1:33" ht="12.75">
      <c r="A258" s="166" t="s">
        <v>430</v>
      </c>
      <c r="B258" s="581">
        <f>NPV(0.1,D258:Y258)</f>
        <v>428603.0219550684</v>
      </c>
      <c r="C258" s="581">
        <f>B258-B248</f>
        <v>0</v>
      </c>
      <c r="D258" s="585">
        <v>30674.269821759997</v>
      </c>
      <c r="E258" s="586">
        <v>37905.029008960002</v>
      </c>
      <c r="F258" s="586">
        <v>37961.430971776004</v>
      </c>
      <c r="G258" s="586">
        <v>38019.52499347648</v>
      </c>
      <c r="H258" s="586">
        <v>47802.249518395023</v>
      </c>
      <c r="I258" s="586">
        <v>55713.626329365979</v>
      </c>
      <c r="J258" s="586">
        <v>56705.720644198365</v>
      </c>
      <c r="K258" s="586">
        <v>57249.341882953151</v>
      </c>
      <c r="L258" s="586">
        <v>57791.467554677038</v>
      </c>
      <c r="M258" s="586">
        <v>58331.518666233256</v>
      </c>
      <c r="N258" s="586">
        <v>58868.882830907249</v>
      </c>
      <c r="O258" s="587">
        <v>59402.912785885659</v>
      </c>
      <c r="P258" s="167">
        <v>60070.524533072705</v>
      </c>
      <c r="Q258" s="167">
        <v>60741.652670807263</v>
      </c>
      <c r="R258" s="167">
        <v>61415.907331949718</v>
      </c>
      <c r="S258" s="167">
        <v>62092.872092580583</v>
      </c>
      <c r="T258" s="167">
        <v>62772.102729474114</v>
      </c>
      <c r="U258" s="167">
        <v>63134.094438429522</v>
      </c>
      <c r="V258" s="167">
        <v>63478.233064689295</v>
      </c>
      <c r="W258" s="167">
        <v>63803.121630753674</v>
      </c>
      <c r="X258" s="167">
        <v>45566.906326487275</v>
      </c>
      <c r="Y258"/>
      <c r="Z258"/>
      <c r="AA258"/>
      <c r="AB258"/>
      <c r="AC258"/>
      <c r="AD258"/>
      <c r="AE258"/>
      <c r="AF258"/>
      <c r="AG258"/>
    </row>
    <row r="259" spans="1:33" ht="12.75">
      <c r="A259" s="168" t="s">
        <v>431</v>
      </c>
      <c r="B259" s="581">
        <f>NPV(0.1,D259:Y259)</f>
        <v>204852.99457710717</v>
      </c>
      <c r="C259" s="581">
        <f>B259-B249</f>
        <v>-80.139207312342478</v>
      </c>
      <c r="D259" s="585">
        <v>22064.587933872506</v>
      </c>
      <c r="E259" s="586">
        <v>23427.471516334917</v>
      </c>
      <c r="F259" s="586">
        <v>23514.21301799086</v>
      </c>
      <c r="G259" s="586">
        <v>23604.189242312448</v>
      </c>
      <c r="H259" s="586">
        <v>23688.292008891396</v>
      </c>
      <c r="I259" s="586">
        <v>23768.850338105298</v>
      </c>
      <c r="J259" s="586">
        <v>23868.604309049435</v>
      </c>
      <c r="K259" s="586">
        <v>23966.690470041533</v>
      </c>
      <c r="L259" s="586">
        <v>24068.68379352241</v>
      </c>
      <c r="M259" s="586">
        <v>24174.672889933303</v>
      </c>
      <c r="N259" s="586">
        <v>24279.372836598515</v>
      </c>
      <c r="O259" s="587">
        <v>25170.72239967134</v>
      </c>
      <c r="P259" s="167">
        <v>25224.290693980518</v>
      </c>
      <c r="Q259" s="167">
        <v>25266.05783356039</v>
      </c>
      <c r="R259" s="167">
        <v>25312.48759512035</v>
      </c>
      <c r="S259" s="167">
        <v>25367.996664643528</v>
      </c>
      <c r="T259" s="167">
        <v>25400.089845959519</v>
      </c>
      <c r="U259" s="167">
        <v>25420.962401856308</v>
      </c>
      <c r="V259" s="167">
        <v>25447.066920489164</v>
      </c>
      <c r="W259" s="167">
        <v>25576.361566086824</v>
      </c>
      <c r="X259" s="167">
        <v>6893.7143040423507</v>
      </c>
      <c r="Y259"/>
      <c r="Z259"/>
      <c r="AA259"/>
      <c r="AB259"/>
      <c r="AC259"/>
      <c r="AD259"/>
      <c r="AE259"/>
      <c r="AF259"/>
      <c r="AG259"/>
    </row>
    <row r="260" spans="1:33" ht="12.75">
      <c r="A260" s="168" t="s">
        <v>34</v>
      </c>
      <c r="B260" s="581">
        <f>NPV(0.1,D260:Y260)</f>
        <v>88105.624824731989</v>
      </c>
      <c r="C260" s="581">
        <f>B260-B250</f>
        <v>240.10992438088579</v>
      </c>
      <c r="D260" s="585">
        <v>811.41662931617464</v>
      </c>
      <c r="E260" s="586">
        <v>1271.8971936344328</v>
      </c>
      <c r="F260" s="586">
        <v>1346.3256278623951</v>
      </c>
      <c r="G260" s="586">
        <v>1426.0598914809034</v>
      </c>
      <c r="H260" s="586">
        <v>7452.4733877060562</v>
      </c>
      <c r="I260" s="586">
        <v>12595.977544759779</v>
      </c>
      <c r="J260" s="586">
        <v>13525.133118625372</v>
      </c>
      <c r="K260" s="586">
        <v>14115.068946514572</v>
      </c>
      <c r="L260" s="586">
        <v>14735.340975222623</v>
      </c>
      <c r="M260" s="586">
        <v>15388.12217562894</v>
      </c>
      <c r="N260" s="586">
        <v>16079.118311666036</v>
      </c>
      <c r="O260" s="587">
        <v>16318.390100733246</v>
      </c>
      <c r="P260" s="167">
        <v>17194.929629745006</v>
      </c>
      <c r="Q260" s="167">
        <v>18132.589717813298</v>
      </c>
      <c r="R260" s="167">
        <v>19125.259324896211</v>
      </c>
      <c r="S260" s="167">
        <v>20207.590133085523</v>
      </c>
      <c r="T260" s="167">
        <v>20635.92559913989</v>
      </c>
      <c r="U260" s="167">
        <v>20849.19968961626</v>
      </c>
      <c r="V260" s="167">
        <v>21048.040576844134</v>
      </c>
      <c r="W260" s="167">
        <v>21170.329563305932</v>
      </c>
      <c r="X260" s="167">
        <v>21449.447193907996</v>
      </c>
      <c r="Y260"/>
      <c r="Z260"/>
      <c r="AA260"/>
      <c r="AB260"/>
      <c r="AC260"/>
      <c r="AD260"/>
      <c r="AE260"/>
      <c r="AF260"/>
      <c r="AG260"/>
    </row>
    <row r="261" spans="1:33" ht="12.75">
      <c r="A261" s="168" t="s">
        <v>31</v>
      </c>
      <c r="B261" s="581">
        <f>NPV(0.1,D261:Y261)</f>
        <v>101258.08485411877</v>
      </c>
      <c r="C261" s="581">
        <f>B261-B251</f>
        <v>-1411.9210111302236</v>
      </c>
      <c r="D261" s="588">
        <v>2977.5149862277585</v>
      </c>
      <c r="E261" s="589">
        <v>5546.0767325218694</v>
      </c>
      <c r="F261" s="589">
        <v>4985.4355066674161</v>
      </c>
      <c r="G261" s="589">
        <v>4974.4095782609475</v>
      </c>
      <c r="H261" s="589">
        <v>14758.904938887692</v>
      </c>
      <c r="I261" s="589">
        <v>19437.127488464183</v>
      </c>
      <c r="J261" s="589">
        <v>13358.462306889902</v>
      </c>
      <c r="K261" s="589">
        <v>13266.116029032954</v>
      </c>
      <c r="L261" s="589">
        <v>13145.843664159416</v>
      </c>
      <c r="M261" s="589">
        <v>13012.988643189296</v>
      </c>
      <c r="N261" s="589">
        <v>12838.886170700207</v>
      </c>
      <c r="O261" s="590">
        <v>13261.821931918155</v>
      </c>
      <c r="P261" s="167">
        <v>12245.041755825141</v>
      </c>
      <c r="Q261" s="167">
        <v>12039.002867887772</v>
      </c>
      <c r="R261" s="167">
        <v>11803.016767667759</v>
      </c>
      <c r="S261" s="167">
        <v>24540.456154117252</v>
      </c>
      <c r="T261" s="167">
        <v>23234.954751815534</v>
      </c>
      <c r="U261" s="167">
        <v>23431.887788766973</v>
      </c>
      <c r="V261" s="167">
        <v>23630.728675994855</v>
      </c>
      <c r="W261" s="167">
        <v>23851.063983606164</v>
      </c>
      <c r="X261" s="167">
        <v>23852.383704284592</v>
      </c>
      <c r="Y261"/>
      <c r="Z261"/>
      <c r="AA261"/>
      <c r="AB261"/>
      <c r="AC261"/>
      <c r="AD261"/>
      <c r="AE261"/>
      <c r="AF261"/>
      <c r="AG261"/>
    </row>
    <row r="262" spans="1:33" ht="12.75">
      <c r="A262" s="163"/>
      <c r="B262" s="163"/>
      <c r="C262" s="163"/>
      <c r="D262"/>
      <c r="E262"/>
      <c r="F262"/>
      <c r="G262"/>
      <c r="H262"/>
      <c r="I262"/>
      <c r="J262"/>
      <c r="K262"/>
      <c r="L262"/>
      <c r="M262"/>
      <c r="N262"/>
      <c r="O262"/>
      <c r="P262"/>
      <c r="Q262"/>
      <c r="R262"/>
      <c r="S262"/>
      <c r="T262"/>
      <c r="U262"/>
      <c r="V262"/>
      <c r="W262"/>
      <c r="X262"/>
      <c r="Y262"/>
      <c r="Z262"/>
      <c r="AA262"/>
      <c r="AB262"/>
      <c r="AC262"/>
      <c r="AD262"/>
      <c r="AE262"/>
      <c r="AF262"/>
      <c r="AG262"/>
    </row>
    <row r="263" spans="1:33" ht="12.75">
      <c r="A263" s="169" t="s">
        <v>627</v>
      </c>
      <c r="B263" s="163"/>
      <c r="C263" s="163"/>
      <c r="D263"/>
      <c r="E263"/>
      <c r="F263"/>
      <c r="G263"/>
      <c r="H263"/>
      <c r="I263"/>
      <c r="J263"/>
      <c r="K263"/>
      <c r="L263"/>
      <c r="M263"/>
      <c r="N263"/>
      <c r="O263"/>
      <c r="P263"/>
      <c r="Q263"/>
      <c r="R263"/>
      <c r="S263"/>
      <c r="T263"/>
      <c r="U263"/>
      <c r="V263"/>
      <c r="W263"/>
      <c r="X263"/>
      <c r="Y263"/>
      <c r="Z263"/>
      <c r="AA263"/>
      <c r="AB263"/>
      <c r="AC263"/>
      <c r="AD263"/>
      <c r="AE263"/>
      <c r="AF263"/>
      <c r="AG263"/>
    </row>
    <row r="264" spans="1:33" ht="12.75">
      <c r="A264" s="416">
        <v>36266</v>
      </c>
      <c r="B264" s="163"/>
      <c r="C264" s="163"/>
      <c r="D264"/>
      <c r="E264"/>
      <c r="F264"/>
      <c r="G264"/>
      <c r="H264"/>
      <c r="I264"/>
      <c r="J264"/>
      <c r="K264"/>
      <c r="L264"/>
      <c r="M264"/>
      <c r="N264"/>
      <c r="O264"/>
      <c r="P264"/>
      <c r="Q264"/>
      <c r="R264"/>
      <c r="S264"/>
      <c r="T264"/>
      <c r="U264"/>
      <c r="V264"/>
      <c r="W264"/>
      <c r="X264"/>
      <c r="Y264"/>
      <c r="Z264"/>
      <c r="AA264"/>
      <c r="AB264"/>
      <c r="AC264"/>
      <c r="AD264"/>
      <c r="AE264"/>
      <c r="AF264"/>
      <c r="AG264"/>
    </row>
    <row r="265" spans="1:33" ht="12.75">
      <c r="A265" s="164" t="s">
        <v>427</v>
      </c>
      <c r="B265" s="172">
        <v>25958.478662415058</v>
      </c>
      <c r="C265" s="163" t="s">
        <v>534</v>
      </c>
      <c r="D265"/>
      <c r="E265"/>
      <c r="F265"/>
      <c r="G265"/>
      <c r="H265"/>
      <c r="I265"/>
      <c r="J265"/>
      <c r="K265"/>
      <c r="L265"/>
      <c r="M265"/>
      <c r="N265"/>
      <c r="O265"/>
      <c r="P265"/>
      <c r="Q265"/>
      <c r="R265"/>
      <c r="S265"/>
      <c r="T265"/>
      <c r="U265"/>
      <c r="V265"/>
      <c r="W265"/>
      <c r="X265"/>
      <c r="Y265"/>
      <c r="Z265"/>
      <c r="AA265"/>
      <c r="AB265"/>
      <c r="AC265"/>
      <c r="AD265"/>
      <c r="AE265"/>
      <c r="AF265"/>
      <c r="AG265"/>
    </row>
    <row r="266" spans="1:33" ht="12.75">
      <c r="A266" s="165" t="s">
        <v>428</v>
      </c>
      <c r="B266" s="173">
        <v>55516.464087492386</v>
      </c>
      <c r="C266" s="163"/>
      <c r="D266"/>
      <c r="E266"/>
      <c r="F266"/>
      <c r="G266"/>
      <c r="H266"/>
      <c r="I266"/>
      <c r="J266"/>
      <c r="K266"/>
      <c r="L266"/>
      <c r="M266"/>
      <c r="N266"/>
      <c r="O266"/>
      <c r="P266"/>
      <c r="Q266"/>
      <c r="R266"/>
      <c r="S266"/>
      <c r="T266"/>
      <c r="U266"/>
      <c r="V266"/>
      <c r="W266"/>
      <c r="X266"/>
      <c r="Y266"/>
      <c r="Z266"/>
      <c r="AA266"/>
      <c r="AB266"/>
      <c r="AC266"/>
      <c r="AD266"/>
      <c r="AE266"/>
      <c r="AF266"/>
      <c r="AG266"/>
    </row>
    <row r="267" spans="1:33" ht="12.75">
      <c r="A267" s="166" t="s">
        <v>429</v>
      </c>
      <c r="B267" s="580" t="s">
        <v>499</v>
      </c>
      <c r="C267" s="580" t="s">
        <v>500</v>
      </c>
      <c r="D267" s="582">
        <v>1999</v>
      </c>
      <c r="E267" s="583">
        <v>2000</v>
      </c>
      <c r="F267" s="583">
        <v>2001</v>
      </c>
      <c r="G267" s="583">
        <v>2002</v>
      </c>
      <c r="H267" s="583">
        <v>2003</v>
      </c>
      <c r="I267" s="583">
        <v>2004</v>
      </c>
      <c r="J267" s="583">
        <v>2005</v>
      </c>
      <c r="K267" s="583">
        <v>2006</v>
      </c>
      <c r="L267" s="583">
        <v>2007</v>
      </c>
      <c r="M267" s="583">
        <v>2008</v>
      </c>
      <c r="N267" s="583">
        <v>2009</v>
      </c>
      <c r="O267" s="584">
        <v>2010</v>
      </c>
      <c r="P267" s="171">
        <v>2011</v>
      </c>
      <c r="Q267" s="171">
        <v>2012</v>
      </c>
      <c r="R267" s="171">
        <v>2013</v>
      </c>
      <c r="S267" s="171">
        <v>2014</v>
      </c>
      <c r="T267" s="171">
        <v>2015</v>
      </c>
      <c r="U267" s="171">
        <v>2016</v>
      </c>
      <c r="V267" s="171">
        <v>2017</v>
      </c>
      <c r="W267" s="171">
        <v>2018</v>
      </c>
      <c r="X267" s="171">
        <v>2019</v>
      </c>
      <c r="Y267"/>
      <c r="Z267"/>
      <c r="AA267"/>
      <c r="AB267"/>
      <c r="AC267"/>
      <c r="AD267"/>
      <c r="AE267"/>
      <c r="AF267"/>
      <c r="AG267"/>
    </row>
    <row r="268" spans="1:33" ht="12.75">
      <c r="A268" s="166" t="s">
        <v>430</v>
      </c>
      <c r="B268" s="581">
        <f>NPV(0.1,D268:Y268)</f>
        <v>412019.31893411785</v>
      </c>
      <c r="C268" s="581">
        <f>B268-B258</f>
        <v>-16583.703020950546</v>
      </c>
      <c r="D268" s="585">
        <v>30674.269821759997</v>
      </c>
      <c r="E268" s="586">
        <v>37905.029008959995</v>
      </c>
      <c r="F268" s="586">
        <v>37961.430971775997</v>
      </c>
      <c r="G268" s="586">
        <v>38019.52499347648</v>
      </c>
      <c r="H268" s="586">
        <v>46344.898182821176</v>
      </c>
      <c r="I268" s="586">
        <v>52469.07345530951</v>
      </c>
      <c r="J268" s="586">
        <v>52672.405778345405</v>
      </c>
      <c r="K268" s="586">
        <v>53451.111654995628</v>
      </c>
      <c r="L268" s="586">
        <v>54246.057026267925</v>
      </c>
      <c r="M268" s="586">
        <v>55057.51542655065</v>
      </c>
      <c r="N268" s="586">
        <v>55885.762186750275</v>
      </c>
      <c r="O268" s="587">
        <v>56731.074295901584</v>
      </c>
      <c r="P268" s="167">
        <v>57318.530888389112</v>
      </c>
      <c r="Q268" s="167">
        <v>57907.099216783172</v>
      </c>
      <c r="R268" s="167">
        <v>58496.317274304893</v>
      </c>
      <c r="S268" s="167">
        <v>59085.694333206418</v>
      </c>
      <c r="T268" s="167">
        <v>59674.709637318723</v>
      </c>
      <c r="U268" s="167">
        <v>60103.295297755467</v>
      </c>
      <c r="V268" s="167">
        <v>60520.811166368418</v>
      </c>
      <c r="W268" s="167">
        <v>60926.207328553755</v>
      </c>
      <c r="X268" s="167">
        <v>42777.991755884061</v>
      </c>
      <c r="Y268"/>
      <c r="Z268"/>
      <c r="AA268"/>
      <c r="AB268"/>
      <c r="AC268"/>
      <c r="AD268"/>
      <c r="AE268"/>
      <c r="AF268"/>
      <c r="AG268"/>
    </row>
    <row r="269" spans="1:33" ht="12.75">
      <c r="A269" s="168" t="s">
        <v>431</v>
      </c>
      <c r="B269" s="581">
        <f>NPV(0.1,D269:Y269)</f>
        <v>204852.99457710717</v>
      </c>
      <c r="C269" s="581">
        <f>B269-B259</f>
        <v>0</v>
      </c>
      <c r="D269" s="585">
        <v>22064.587933872506</v>
      </c>
      <c r="E269" s="586">
        <v>23427.471516334917</v>
      </c>
      <c r="F269" s="586">
        <v>23514.21301799086</v>
      </c>
      <c r="G269" s="586">
        <v>23604.189242312448</v>
      </c>
      <c r="H269" s="586">
        <v>23688.292008891396</v>
      </c>
      <c r="I269" s="586">
        <v>23768.850338105298</v>
      </c>
      <c r="J269" s="586">
        <v>23868.604309049435</v>
      </c>
      <c r="K269" s="586">
        <v>23966.690470041533</v>
      </c>
      <c r="L269" s="586">
        <v>24068.68379352241</v>
      </c>
      <c r="M269" s="586">
        <v>24174.672889933303</v>
      </c>
      <c r="N269" s="586">
        <v>24279.372836598515</v>
      </c>
      <c r="O269" s="587">
        <v>25170.72239967134</v>
      </c>
      <c r="P269" s="167">
        <v>25224.290693980518</v>
      </c>
      <c r="Q269" s="167">
        <v>25266.05783356039</v>
      </c>
      <c r="R269" s="167">
        <v>25312.48759512035</v>
      </c>
      <c r="S269" s="167">
        <v>25367.996664643528</v>
      </c>
      <c r="T269" s="167">
        <v>25400.089845959519</v>
      </c>
      <c r="U269" s="167">
        <v>25420.962401856308</v>
      </c>
      <c r="V269" s="167">
        <v>25447.066920489164</v>
      </c>
      <c r="W269" s="167">
        <v>25576.361566086824</v>
      </c>
      <c r="X269" s="167">
        <v>6893.7143040423507</v>
      </c>
      <c r="Y269"/>
      <c r="Z269"/>
      <c r="AA269"/>
      <c r="AB269"/>
      <c r="AC269"/>
      <c r="AD269"/>
      <c r="AE269"/>
      <c r="AF269"/>
      <c r="AG269"/>
    </row>
    <row r="270" spans="1:33" ht="12.75" outlineLevel="1">
      <c r="A270" s="168" t="s">
        <v>34</v>
      </c>
      <c r="B270" s="581">
        <f>NPV(0.1,D270:Y270)</f>
        <v>80053.494063403341</v>
      </c>
      <c r="C270" s="581">
        <f>B270-B260</f>
        <v>-8052.1307613286481</v>
      </c>
      <c r="D270" s="585">
        <v>996.96402238670476</v>
      </c>
      <c r="E270" s="586">
        <v>1604.358361861161</v>
      </c>
      <c r="F270" s="586">
        <v>1704.5525366266943</v>
      </c>
      <c r="G270" s="586">
        <v>1812.0493856744411</v>
      </c>
      <c r="H270" s="586">
        <v>6970.6299351030075</v>
      </c>
      <c r="I270" s="586">
        <v>11002.290512096428</v>
      </c>
      <c r="J270" s="586">
        <v>11408.974395377205</v>
      </c>
      <c r="K270" s="586">
        <v>12098.63487340929</v>
      </c>
      <c r="L270" s="586">
        <v>12830.584743918374</v>
      </c>
      <c r="M270" s="586">
        <v>13607.949630682164</v>
      </c>
      <c r="N270" s="586">
        <v>14437.460368919505</v>
      </c>
      <c r="O270" s="587">
        <v>14830.280734786857</v>
      </c>
      <c r="P270" s="167">
        <v>15618.500162006314</v>
      </c>
      <c r="Q270" s="167">
        <v>16461.696399563421</v>
      </c>
      <c r="R270" s="167">
        <v>17353.294563301475</v>
      </c>
      <c r="S270" s="167">
        <v>18327.446213341806</v>
      </c>
      <c r="T270" s="167">
        <v>18699.377361803865</v>
      </c>
      <c r="U270" s="167">
        <v>18954.28723938296</v>
      </c>
      <c r="V270" s="167">
        <v>19199.00495435332</v>
      </c>
      <c r="W270" s="167">
        <v>19371.628799427373</v>
      </c>
      <c r="X270" s="167">
        <v>19705.765512218662</v>
      </c>
      <c r="Y270"/>
      <c r="Z270"/>
      <c r="AA270"/>
      <c r="AB270"/>
      <c r="AC270"/>
      <c r="AD270"/>
      <c r="AE270"/>
      <c r="AF270"/>
      <c r="AG270"/>
    </row>
    <row r="271" spans="1:33" ht="12.75" outlineLevel="1">
      <c r="A271" s="168" t="s">
        <v>31</v>
      </c>
      <c r="B271" s="581">
        <f>NPV(0.1,D271:Y271)</f>
        <v>94974.873681907862</v>
      </c>
      <c r="C271" s="581">
        <f>B271-B261</f>
        <v>-6283.2111722109112</v>
      </c>
      <c r="D271" s="588">
        <v>2977.5149862277581</v>
      </c>
      <c r="E271" s="589">
        <v>5546.0767325218658</v>
      </c>
      <c r="F271" s="589">
        <v>4985.4355066674143</v>
      </c>
      <c r="G271" s="589">
        <v>4974.4095782609475</v>
      </c>
      <c r="H271" s="589">
        <v>13866.277245848711</v>
      </c>
      <c r="I271" s="589">
        <v>17567.992623604299</v>
      </c>
      <c r="J271" s="589">
        <v>12584.510587418408</v>
      </c>
      <c r="K271" s="589">
        <v>12188.746221636136</v>
      </c>
      <c r="L271" s="589">
        <v>12154.148960000939</v>
      </c>
      <c r="M271" s="589">
        <v>12110.35963206935</v>
      </c>
      <c r="N271" s="589">
        <v>12028.622206276406</v>
      </c>
      <c r="O271" s="590">
        <v>12547.10520089115</v>
      </c>
      <c r="P271" s="167">
        <v>11535.938395679193</v>
      </c>
      <c r="Q271" s="167">
        <v>11337.845669574257</v>
      </c>
      <c r="R271" s="167">
        <v>11112.381657052578</v>
      </c>
      <c r="S271" s="167">
        <v>22660.31223437353</v>
      </c>
      <c r="T271" s="167">
        <v>21298.406514479509</v>
      </c>
      <c r="U271" s="167">
        <v>21536.975338533673</v>
      </c>
      <c r="V271" s="167">
        <v>21781.693053504045</v>
      </c>
      <c r="W271" s="167">
        <v>22052.363219727609</v>
      </c>
      <c r="X271" s="167">
        <v>22108.702022595262</v>
      </c>
      <c r="Y271"/>
      <c r="Z271"/>
      <c r="AA271"/>
      <c r="AB271"/>
      <c r="AC271"/>
      <c r="AD271"/>
      <c r="AE271"/>
      <c r="AF271"/>
      <c r="AG271"/>
    </row>
    <row r="272" spans="1:33" ht="12.75" outlineLevel="1">
      <c r="A272" s="163"/>
      <c r="B272" s="163"/>
      <c r="C272" s="163"/>
      <c r="D272"/>
      <c r="E272"/>
      <c r="F272"/>
      <c r="G272"/>
      <c r="H272"/>
      <c r="I272"/>
      <c r="J272"/>
      <c r="K272"/>
      <c r="L272"/>
      <c r="M272"/>
      <c r="N272"/>
      <c r="O272"/>
      <c r="P272"/>
      <c r="Q272"/>
      <c r="R272"/>
      <c r="S272"/>
      <c r="T272"/>
      <c r="U272"/>
      <c r="V272"/>
      <c r="W272"/>
      <c r="X272"/>
      <c r="Y272"/>
      <c r="Z272"/>
      <c r="AA272"/>
      <c r="AB272"/>
      <c r="AC272"/>
      <c r="AD272"/>
      <c r="AE272"/>
      <c r="AF272"/>
      <c r="AG272"/>
    </row>
    <row r="273" spans="1:33" ht="12.75" outlineLevel="1">
      <c r="A273" s="169" t="s">
        <v>628</v>
      </c>
      <c r="B273" s="163"/>
      <c r="C273" s="163"/>
      <c r="D273"/>
      <c r="E273"/>
      <c r="F273"/>
      <c r="G273"/>
      <c r="H273"/>
      <c r="I273"/>
      <c r="J273"/>
      <c r="K273"/>
      <c r="L273"/>
      <c r="M273"/>
      <c r="N273"/>
      <c r="O273"/>
      <c r="P273"/>
      <c r="Q273"/>
      <c r="R273"/>
      <c r="S273"/>
      <c r="T273"/>
      <c r="U273"/>
      <c r="V273"/>
      <c r="W273"/>
      <c r="X273"/>
      <c r="Y273"/>
      <c r="Z273"/>
      <c r="AA273"/>
      <c r="AB273"/>
      <c r="AC273"/>
      <c r="AD273"/>
      <c r="AE273"/>
      <c r="AF273"/>
      <c r="AG273"/>
    </row>
    <row r="274" spans="1:33" ht="12.75" outlineLevel="1">
      <c r="A274" s="416">
        <v>36266</v>
      </c>
      <c r="B274" s="163"/>
      <c r="C274" s="163"/>
      <c r="D274"/>
      <c r="E274"/>
      <c r="F274"/>
      <c r="G274"/>
      <c r="H274"/>
      <c r="I274"/>
      <c r="J274"/>
      <c r="K274"/>
      <c r="L274"/>
      <c r="M274"/>
      <c r="N274"/>
      <c r="O274"/>
      <c r="P274"/>
      <c r="Q274"/>
      <c r="R274"/>
      <c r="S274"/>
      <c r="T274"/>
      <c r="U274"/>
      <c r="V274"/>
      <c r="W274"/>
      <c r="X274"/>
      <c r="Y274"/>
      <c r="Z274"/>
      <c r="AA274"/>
      <c r="AB274"/>
      <c r="AC274"/>
      <c r="AD274"/>
      <c r="AE274"/>
      <c r="AF274"/>
      <c r="AG274"/>
    </row>
    <row r="275" spans="1:33" ht="12.75" outlineLevel="1">
      <c r="A275" s="164" t="s">
        <v>427</v>
      </c>
      <c r="B275" s="172">
        <v>25961.473960934549</v>
      </c>
      <c r="C275" s="163"/>
      <c r="D275"/>
      <c r="E275"/>
      <c r="F275"/>
      <c r="G275"/>
      <c r="H275"/>
      <c r="I275"/>
      <c r="J275"/>
      <c r="K275"/>
      <c r="L275"/>
      <c r="M275"/>
      <c r="N275"/>
      <c r="O275"/>
      <c r="P275"/>
      <c r="Q275"/>
      <c r="R275"/>
      <c r="S275"/>
      <c r="T275"/>
      <c r="U275"/>
      <c r="V275"/>
      <c r="W275"/>
      <c r="X275"/>
      <c r="Y275"/>
      <c r="Z275"/>
      <c r="AA275"/>
      <c r="AB275"/>
      <c r="AC275"/>
      <c r="AD275"/>
      <c r="AE275"/>
      <c r="AF275"/>
      <c r="AG275"/>
    </row>
    <row r="276" spans="1:33" ht="12.75" outlineLevel="1">
      <c r="A276" s="165" t="s">
        <v>428</v>
      </c>
      <c r="B276" s="173">
        <v>55520.216213494808</v>
      </c>
      <c r="C276" s="163"/>
      <c r="D276"/>
      <c r="E276"/>
      <c r="F276"/>
      <c r="G276"/>
      <c r="H276"/>
      <c r="I276"/>
      <c r="J276"/>
      <c r="K276"/>
      <c r="L276"/>
      <c r="M276"/>
      <c r="N276"/>
      <c r="O276"/>
      <c r="P276"/>
      <c r="Q276"/>
      <c r="R276"/>
      <c r="S276"/>
      <c r="T276"/>
      <c r="U276"/>
      <c r="V276"/>
      <c r="W276"/>
      <c r="X276"/>
      <c r="Y276"/>
      <c r="Z276"/>
      <c r="AA276"/>
      <c r="AB276"/>
      <c r="AC276"/>
      <c r="AD276"/>
      <c r="AE276"/>
      <c r="AF276"/>
      <c r="AG276"/>
    </row>
    <row r="277" spans="1:33" ht="12.75" outlineLevel="1">
      <c r="A277" s="166" t="s">
        <v>429</v>
      </c>
      <c r="B277" s="580" t="s">
        <v>499</v>
      </c>
      <c r="C277" s="580" t="s">
        <v>500</v>
      </c>
      <c r="D277" s="582">
        <v>1999</v>
      </c>
      <c r="E277" s="583">
        <v>2000</v>
      </c>
      <c r="F277" s="583">
        <v>2001</v>
      </c>
      <c r="G277" s="583">
        <v>2002</v>
      </c>
      <c r="H277" s="583">
        <v>2003</v>
      </c>
      <c r="I277" s="583">
        <v>2004</v>
      </c>
      <c r="J277" s="583">
        <v>2005</v>
      </c>
      <c r="K277" s="583">
        <v>2006</v>
      </c>
      <c r="L277" s="583">
        <v>2007</v>
      </c>
      <c r="M277" s="583">
        <v>2008</v>
      </c>
      <c r="N277" s="583">
        <v>2009</v>
      </c>
      <c r="O277" s="584">
        <v>2010</v>
      </c>
      <c r="P277" s="171">
        <v>2011</v>
      </c>
      <c r="Q277" s="171">
        <v>2012</v>
      </c>
      <c r="R277" s="171">
        <v>2013</v>
      </c>
      <c r="S277" s="171">
        <v>2014</v>
      </c>
      <c r="T277" s="171">
        <v>2015</v>
      </c>
      <c r="U277" s="171">
        <v>2016</v>
      </c>
      <c r="V277" s="171">
        <v>2017</v>
      </c>
      <c r="W277" s="171">
        <v>2018</v>
      </c>
      <c r="X277" s="171">
        <v>2019</v>
      </c>
      <c r="Y277"/>
      <c r="Z277"/>
      <c r="AA277"/>
      <c r="AB277"/>
      <c r="AC277"/>
      <c r="AD277"/>
      <c r="AE277"/>
      <c r="AF277"/>
      <c r="AG277"/>
    </row>
    <row r="278" spans="1:33" ht="12.75" outlineLevel="1">
      <c r="A278" s="166" t="s">
        <v>430</v>
      </c>
      <c r="B278" s="581">
        <f>NPV(0.1,D278:Y278)</f>
        <v>413781.78081899998</v>
      </c>
      <c r="C278" s="581">
        <f>B278-B268</f>
        <v>1762.4618848821265</v>
      </c>
      <c r="D278" s="585">
        <v>30878.053401759997</v>
      </c>
      <c r="E278" s="586">
        <v>38108.812588959998</v>
      </c>
      <c r="F278" s="586">
        <v>38165.214551775993</v>
      </c>
      <c r="G278" s="586">
        <v>38223.308573476475</v>
      </c>
      <c r="H278" s="586">
        <v>46548.681762821179</v>
      </c>
      <c r="I278" s="586">
        <v>52672.857035309506</v>
      </c>
      <c r="J278" s="586">
        <v>52876.1893583454</v>
      </c>
      <c r="K278" s="586">
        <v>53654.895234995623</v>
      </c>
      <c r="L278" s="586">
        <v>54449.840606267921</v>
      </c>
      <c r="M278" s="586">
        <v>55261.299006550653</v>
      </c>
      <c r="N278" s="586">
        <v>56089.545766750278</v>
      </c>
      <c r="O278" s="587">
        <v>56934.85787590158</v>
      </c>
      <c r="P278" s="167">
        <v>57522.314468389115</v>
      </c>
      <c r="Q278" s="167">
        <v>58110.882796783175</v>
      </c>
      <c r="R278" s="167">
        <v>58700.100854304896</v>
      </c>
      <c r="S278" s="167">
        <v>59289.477913206414</v>
      </c>
      <c r="T278" s="167">
        <v>59878.493217318719</v>
      </c>
      <c r="U278" s="167">
        <v>60307.07887775547</v>
      </c>
      <c r="V278" s="167">
        <v>60724.594746368421</v>
      </c>
      <c r="W278" s="167">
        <v>61129.990908553751</v>
      </c>
      <c r="X278" s="167">
        <v>42981.775335884064</v>
      </c>
      <c r="Y278"/>
      <c r="Z278"/>
      <c r="AA278"/>
      <c r="AB278"/>
      <c r="AC278"/>
      <c r="AD278"/>
      <c r="AE278"/>
      <c r="AF278"/>
      <c r="AG278"/>
    </row>
    <row r="279" spans="1:33" ht="12.75" outlineLevel="1">
      <c r="A279" s="168" t="s">
        <v>431</v>
      </c>
      <c r="B279" s="581">
        <f>NPV(0.1,D279:Y279)</f>
        <v>206611.96150020667</v>
      </c>
      <c r="C279" s="581">
        <f>B279-B269</f>
        <v>1758.9669230995059</v>
      </c>
      <c r="D279" s="585">
        <v>22268.084007857062</v>
      </c>
      <c r="E279" s="586">
        <v>23630.452148295881</v>
      </c>
      <c r="F279" s="586">
        <v>23716.637743520208</v>
      </c>
      <c r="G279" s="586">
        <v>23806.014433016979</v>
      </c>
      <c r="H279" s="586">
        <v>23890.862208566174</v>
      </c>
      <c r="I279" s="586">
        <v>23973.594012357058</v>
      </c>
      <c r="J279" s="586">
        <v>24072.387889049438</v>
      </c>
      <c r="K279" s="586">
        <v>24170.474050041532</v>
      </c>
      <c r="L279" s="586">
        <v>24272.46737352241</v>
      </c>
      <c r="M279" s="586">
        <v>24378.456469933306</v>
      </c>
      <c r="N279" s="586">
        <v>24483.156416598515</v>
      </c>
      <c r="O279" s="587">
        <v>25374.505979671336</v>
      </c>
      <c r="P279" s="167">
        <v>25428.074273980521</v>
      </c>
      <c r="Q279" s="167">
        <v>25469.841413560389</v>
      </c>
      <c r="R279" s="167">
        <v>25516.271175120353</v>
      </c>
      <c r="S279" s="167">
        <v>25571.780244643527</v>
      </c>
      <c r="T279" s="167">
        <v>25603.873425959518</v>
      </c>
      <c r="U279" s="167">
        <v>25624.745981856307</v>
      </c>
      <c r="V279" s="167">
        <v>25650.850500489163</v>
      </c>
      <c r="W279" s="167">
        <v>25780.145146086823</v>
      </c>
      <c r="X279" s="167">
        <v>7097.4978840423501</v>
      </c>
      <c r="Y279"/>
      <c r="Z279"/>
      <c r="AA279"/>
      <c r="AB279"/>
      <c r="AC279"/>
      <c r="AD279"/>
      <c r="AE279"/>
      <c r="AF279"/>
      <c r="AG279"/>
    </row>
    <row r="280" spans="1:33" ht="12.75" outlineLevel="1">
      <c r="A280" s="168" t="s">
        <v>34</v>
      </c>
      <c r="B280" s="581">
        <f>NPV(0.1,D280:Y280)</f>
        <v>80055.408856742972</v>
      </c>
      <c r="C280" s="581">
        <f>B280-B270</f>
        <v>1.9147933396307053</v>
      </c>
      <c r="D280" s="585">
        <v>997.07410856825732</v>
      </c>
      <c r="E280" s="586">
        <v>1604.7447225968162</v>
      </c>
      <c r="F280" s="586">
        <v>1705.3031144235922</v>
      </c>
      <c r="G280" s="586">
        <v>1813.2104842336082</v>
      </c>
      <c r="H280" s="586">
        <v>6971.382627838474</v>
      </c>
      <c r="I280" s="586">
        <v>11001.70780933736</v>
      </c>
      <c r="J280" s="586">
        <v>11408.974395377201</v>
      </c>
      <c r="K280" s="586">
        <v>12098.634873409286</v>
      </c>
      <c r="L280" s="586">
        <v>12830.584743918373</v>
      </c>
      <c r="M280" s="586">
        <v>13607.949630682164</v>
      </c>
      <c r="N280" s="586">
        <v>14437.46036891951</v>
      </c>
      <c r="O280" s="587">
        <v>14830.280734786858</v>
      </c>
      <c r="P280" s="167">
        <v>15618.500162006314</v>
      </c>
      <c r="Q280" s="167">
        <v>16461.696399563429</v>
      </c>
      <c r="R280" s="167">
        <v>17353.294563301475</v>
      </c>
      <c r="S280" s="167">
        <v>18327.446213341806</v>
      </c>
      <c r="T280" s="167">
        <v>18699.377361803865</v>
      </c>
      <c r="U280" s="167">
        <v>18954.28723938296</v>
      </c>
      <c r="V280" s="167">
        <v>19199.004954353324</v>
      </c>
      <c r="W280" s="167">
        <v>19371.62879942737</v>
      </c>
      <c r="X280" s="167">
        <v>19705.765512218662</v>
      </c>
      <c r="Y280"/>
      <c r="Z280"/>
      <c r="AA280"/>
      <c r="AB280"/>
      <c r="AC280"/>
      <c r="AD280"/>
      <c r="AE280"/>
      <c r="AF280"/>
      <c r="AG280"/>
    </row>
    <row r="281" spans="1:33" ht="12.75" outlineLevel="1">
      <c r="A281" s="168" t="s">
        <v>31</v>
      </c>
      <c r="B281" s="581">
        <f>NPV(0.1,D281:Y281)</f>
        <v>94975.319249427994</v>
      </c>
      <c r="C281" s="581">
        <f>B281-B271</f>
        <v>0.44556752013158984</v>
      </c>
      <c r="D281" s="588">
        <v>2977.6144153914311</v>
      </c>
      <c r="E281" s="589">
        <v>5546.3544187186999</v>
      </c>
      <c r="F281" s="589">
        <v>4985.9054438385119</v>
      </c>
      <c r="G281" s="589">
        <v>4975.0868545589619</v>
      </c>
      <c r="H281" s="589">
        <v>13867.020441297907</v>
      </c>
      <c r="I281" s="589">
        <v>17567.404565875095</v>
      </c>
      <c r="J281" s="589">
        <v>12582.913618482376</v>
      </c>
      <c r="K281" s="589">
        <v>12188.746221636135</v>
      </c>
      <c r="L281" s="589">
        <v>12154.148960000941</v>
      </c>
      <c r="M281" s="589">
        <v>12110.35963206935</v>
      </c>
      <c r="N281" s="589">
        <v>12028.622206276408</v>
      </c>
      <c r="O281" s="590">
        <v>12547.105200891145</v>
      </c>
      <c r="P281" s="167">
        <v>11535.938395679193</v>
      </c>
      <c r="Q281" s="167">
        <v>11337.845669574263</v>
      </c>
      <c r="R281" s="167">
        <v>11112.381657052576</v>
      </c>
      <c r="S281" s="167">
        <v>22660.31223437353</v>
      </c>
      <c r="T281" s="167">
        <v>21298.406514479509</v>
      </c>
      <c r="U281" s="167">
        <v>21536.975338533673</v>
      </c>
      <c r="V281" s="167">
        <v>21781.693053504048</v>
      </c>
      <c r="W281" s="167">
        <v>22052.363219727609</v>
      </c>
      <c r="X281" s="167">
        <v>22108.702022595262</v>
      </c>
      <c r="Y281"/>
      <c r="Z281"/>
      <c r="AA281"/>
      <c r="AB281"/>
      <c r="AC281"/>
      <c r="AD281"/>
      <c r="AE281"/>
      <c r="AF281"/>
      <c r="AG281"/>
    </row>
    <row r="282" spans="1:33" ht="12.75" outlineLevel="1">
      <c r="A282" s="163"/>
      <c r="B282" s="163"/>
      <c r="C282" s="163"/>
      <c r="D282"/>
      <c r="E282"/>
      <c r="F282"/>
      <c r="G282"/>
      <c r="H282"/>
      <c r="I282"/>
      <c r="J282"/>
      <c r="K282"/>
      <c r="L282"/>
      <c r="M282"/>
      <c r="N282"/>
      <c r="O282"/>
      <c r="P282"/>
      <c r="Q282"/>
      <c r="R282"/>
      <c r="S282"/>
      <c r="T282"/>
      <c r="U282"/>
      <c r="V282"/>
      <c r="W282"/>
      <c r="X282"/>
      <c r="Y282"/>
      <c r="Z282"/>
      <c r="AA282"/>
      <c r="AB282"/>
      <c r="AC282"/>
      <c r="AD282"/>
      <c r="AE282"/>
      <c r="AF282"/>
      <c r="AG282"/>
    </row>
    <row r="283" spans="1:33" ht="12.75" outlineLevel="1">
      <c r="A283" s="169" t="s">
        <v>629</v>
      </c>
      <c r="B283" s="163"/>
      <c r="C283" s="163"/>
      <c r="D283"/>
      <c r="E283"/>
      <c r="F283"/>
      <c r="G283"/>
      <c r="H283"/>
      <c r="I283"/>
      <c r="J283"/>
      <c r="K283"/>
      <c r="L283"/>
      <c r="M283"/>
      <c r="N283"/>
      <c r="O283"/>
      <c r="P283"/>
      <c r="Q283"/>
      <c r="R283"/>
      <c r="S283"/>
      <c r="T283"/>
      <c r="U283"/>
      <c r="V283"/>
      <c r="W283"/>
      <c r="X283"/>
      <c r="Y283"/>
      <c r="Z283"/>
      <c r="AA283"/>
      <c r="AB283"/>
      <c r="AC283"/>
      <c r="AD283"/>
      <c r="AE283"/>
      <c r="AF283"/>
      <c r="AG283"/>
    </row>
    <row r="284" spans="1:33" ht="12.75" outlineLevel="1">
      <c r="A284" s="416">
        <v>36266</v>
      </c>
      <c r="B284" s="163"/>
      <c r="C284" s="163"/>
      <c r="D284"/>
      <c r="E284"/>
      <c r="F284"/>
      <c r="G284"/>
      <c r="H284"/>
      <c r="I284"/>
      <c r="J284"/>
      <c r="K284"/>
      <c r="L284"/>
      <c r="M284"/>
      <c r="N284"/>
      <c r="O284"/>
      <c r="P284"/>
      <c r="Q284"/>
      <c r="R284"/>
      <c r="S284"/>
      <c r="T284"/>
      <c r="U284"/>
      <c r="V284"/>
      <c r="W284"/>
      <c r="X284"/>
      <c r="Y284"/>
      <c r="Z284"/>
      <c r="AA284"/>
      <c r="AB284"/>
      <c r="AC284"/>
      <c r="AD284"/>
      <c r="AE284"/>
      <c r="AF284"/>
      <c r="AG284"/>
    </row>
    <row r="285" spans="1:33" ht="12.75" outlineLevel="1">
      <c r="A285" s="164" t="s">
        <v>427</v>
      </c>
      <c r="B285" s="172">
        <v>25961.473960934585</v>
      </c>
      <c r="C285" s="163"/>
      <c r="D285"/>
      <c r="E285"/>
      <c r="F285"/>
      <c r="G285"/>
      <c r="H285"/>
      <c r="I285"/>
      <c r="J285"/>
      <c r="K285"/>
      <c r="L285"/>
      <c r="M285"/>
      <c r="N285"/>
      <c r="O285"/>
      <c r="P285"/>
      <c r="Q285"/>
      <c r="R285"/>
      <c r="S285"/>
      <c r="T285"/>
      <c r="U285"/>
      <c r="V285"/>
      <c r="W285"/>
      <c r="X285"/>
      <c r="Y285"/>
      <c r="Z285"/>
      <c r="AA285"/>
      <c r="AB285"/>
      <c r="AC285"/>
      <c r="AD285"/>
      <c r="AE285"/>
      <c r="AF285"/>
      <c r="AG285"/>
    </row>
    <row r="286" spans="1:33" ht="12.75" outlineLevel="1">
      <c r="A286" s="165" t="s">
        <v>428</v>
      </c>
      <c r="B286" s="173">
        <v>55520.216213494852</v>
      </c>
      <c r="C286" s="163"/>
      <c r="D286"/>
      <c r="E286"/>
      <c r="F286"/>
      <c r="G286"/>
      <c r="H286"/>
      <c r="I286"/>
      <c r="J286"/>
      <c r="K286"/>
      <c r="L286"/>
      <c r="M286"/>
      <c r="N286"/>
      <c r="O286"/>
      <c r="P286"/>
      <c r="Q286"/>
      <c r="R286"/>
      <c r="S286"/>
      <c r="T286"/>
      <c r="U286"/>
      <c r="V286"/>
      <c r="W286"/>
      <c r="X286"/>
      <c r="Y286"/>
      <c r="Z286"/>
      <c r="AA286"/>
      <c r="AB286"/>
      <c r="AC286"/>
      <c r="AD286"/>
      <c r="AE286"/>
      <c r="AF286"/>
      <c r="AG286"/>
    </row>
    <row r="287" spans="1:33" ht="12.75" outlineLevel="1">
      <c r="A287" s="166" t="s">
        <v>429</v>
      </c>
      <c r="B287" s="580" t="s">
        <v>499</v>
      </c>
      <c r="C287" s="580" t="s">
        <v>500</v>
      </c>
      <c r="D287" s="582">
        <v>1999</v>
      </c>
      <c r="E287" s="583">
        <v>2000</v>
      </c>
      <c r="F287" s="583">
        <v>2001</v>
      </c>
      <c r="G287" s="583">
        <v>2002</v>
      </c>
      <c r="H287" s="583">
        <v>2003</v>
      </c>
      <c r="I287" s="583">
        <v>2004</v>
      </c>
      <c r="J287" s="583">
        <v>2005</v>
      </c>
      <c r="K287" s="583">
        <v>2006</v>
      </c>
      <c r="L287" s="583">
        <v>2007</v>
      </c>
      <c r="M287" s="583">
        <v>2008</v>
      </c>
      <c r="N287" s="583">
        <v>2009</v>
      </c>
      <c r="O287" s="584">
        <v>2010</v>
      </c>
      <c r="P287" s="171">
        <v>2011</v>
      </c>
      <c r="Q287" s="171">
        <v>2012</v>
      </c>
      <c r="R287" s="171">
        <v>2013</v>
      </c>
      <c r="S287" s="171">
        <v>2014</v>
      </c>
      <c r="T287" s="171">
        <v>2015</v>
      </c>
      <c r="U287" s="171">
        <v>2016</v>
      </c>
      <c r="V287" s="171">
        <v>2017</v>
      </c>
      <c r="W287" s="171">
        <v>2018</v>
      </c>
      <c r="X287" s="171">
        <v>2019</v>
      </c>
      <c r="Y287"/>
      <c r="Z287"/>
      <c r="AA287"/>
      <c r="AB287"/>
      <c r="AC287"/>
      <c r="AD287"/>
      <c r="AE287"/>
      <c r="AF287"/>
      <c r="AG287"/>
    </row>
    <row r="288" spans="1:33" ht="12.75" outlineLevel="1">
      <c r="A288" s="166" t="s">
        <v>430</v>
      </c>
      <c r="B288" s="581">
        <f>NPV(0.1,D288:Y288)</f>
        <v>393350.50960506487</v>
      </c>
      <c r="C288" s="581">
        <f>B288-B278</f>
        <v>-20431.271213935106</v>
      </c>
      <c r="D288" s="585">
        <v>28479.210783999999</v>
      </c>
      <c r="E288" s="586">
        <v>35709.852064000006</v>
      </c>
      <c r="F288" s="586">
        <v>35766.132582400001</v>
      </c>
      <c r="G288" s="586">
        <v>35824.101516351999</v>
      </c>
      <c r="H288" s="586">
        <v>44149.345865315765</v>
      </c>
      <c r="I288" s="586">
        <v>50273.38843221173</v>
      </c>
      <c r="J288" s="586">
        <v>50476.5840684875</v>
      </c>
      <c r="K288" s="586">
        <v>51255.149157774773</v>
      </c>
      <c r="L288" s="586">
        <v>52049.949518063251</v>
      </c>
      <c r="M288" s="586">
        <v>52861.258557032641</v>
      </c>
      <c r="N288" s="586">
        <v>53689.351475079529</v>
      </c>
      <c r="O288" s="587">
        <v>54534.505126813514</v>
      </c>
      <c r="P288" s="167">
        <v>55121.798508161199</v>
      </c>
      <c r="Q288" s="167">
        <v>55710.198729081218</v>
      </c>
      <c r="R288" s="167">
        <v>56299.243635904684</v>
      </c>
      <c r="S288" s="167">
        <v>56888.442349587</v>
      </c>
      <c r="T288" s="167">
        <v>57477.273958123515</v>
      </c>
      <c r="U288" s="167">
        <v>57905.670412117215</v>
      </c>
      <c r="V288" s="167">
        <v>58322.991398093814</v>
      </c>
      <c r="W288" s="167">
        <v>58728.186831163708</v>
      </c>
      <c r="X288" s="167">
        <v>42974.676885265115</v>
      </c>
      <c r="Y288"/>
      <c r="Z288"/>
      <c r="AA288"/>
      <c r="AB288"/>
      <c r="AC288"/>
      <c r="AD288"/>
      <c r="AE288"/>
      <c r="AF288"/>
      <c r="AG288"/>
    </row>
    <row r="289" spans="1:33" ht="12.75" outlineLevel="1">
      <c r="A289" s="168" t="s">
        <v>431</v>
      </c>
      <c r="B289" s="581">
        <f>NPV(0.1,D289:Y289)</f>
        <v>186180.69028627142</v>
      </c>
      <c r="C289" s="581">
        <f>B289-B279</f>
        <v>-20431.271213935252</v>
      </c>
      <c r="D289" s="585">
        <v>19869.241390097064</v>
      </c>
      <c r="E289" s="586">
        <v>21231.491623335882</v>
      </c>
      <c r="F289" s="586">
        <v>21317.55577414421</v>
      </c>
      <c r="G289" s="586">
        <v>21406.807375892502</v>
      </c>
      <c r="H289" s="586">
        <v>21491.526311060759</v>
      </c>
      <c r="I289" s="586">
        <v>21574.125409259283</v>
      </c>
      <c r="J289" s="586">
        <v>21672.782599191523</v>
      </c>
      <c r="K289" s="586">
        <v>21770.727972820685</v>
      </c>
      <c r="L289" s="586">
        <v>21872.57628531774</v>
      </c>
      <c r="M289" s="586">
        <v>21978.41602041529</v>
      </c>
      <c r="N289" s="586">
        <v>22082.962124927759</v>
      </c>
      <c r="O289" s="587">
        <v>22974.153230583262</v>
      </c>
      <c r="P289" s="167">
        <v>23027.558313752605</v>
      </c>
      <c r="Q289" s="167">
        <v>23069.157345858435</v>
      </c>
      <c r="R289" s="167">
        <v>23115.413956720138</v>
      </c>
      <c r="S289" s="167">
        <v>23170.744681024109</v>
      </c>
      <c r="T289" s="167">
        <v>23202.654166764314</v>
      </c>
      <c r="U289" s="167">
        <v>23223.337516218049</v>
      </c>
      <c r="V289" s="167">
        <v>23249.247152214557</v>
      </c>
      <c r="W289" s="167">
        <v>23378.34106869678</v>
      </c>
      <c r="X289" s="167">
        <v>7090.399433423403</v>
      </c>
      <c r="Y289"/>
      <c r="Z289"/>
      <c r="AA289"/>
      <c r="AB289"/>
      <c r="AC289"/>
      <c r="AD289"/>
      <c r="AE289"/>
      <c r="AF289"/>
      <c r="AG289"/>
    </row>
    <row r="290" spans="1:33" ht="12.75" outlineLevel="1">
      <c r="A290" s="168" t="s">
        <v>34</v>
      </c>
      <c r="B290" s="581">
        <f>NPV(0.1,D290:Y290)</f>
        <v>80055.408856742986</v>
      </c>
      <c r="C290" s="581">
        <f>B290-B280</f>
        <v>0</v>
      </c>
      <c r="D290" s="585">
        <v>997.07410856825675</v>
      </c>
      <c r="E290" s="586">
        <v>1604.744722596819</v>
      </c>
      <c r="F290" s="586">
        <v>1705.3031144235956</v>
      </c>
      <c r="G290" s="586">
        <v>1813.2104842336066</v>
      </c>
      <c r="H290" s="586">
        <v>6971.3826278384731</v>
      </c>
      <c r="I290" s="586">
        <v>11001.70780933736</v>
      </c>
      <c r="J290" s="586">
        <v>11408.974395377209</v>
      </c>
      <c r="K290" s="586">
        <v>12098.634873409283</v>
      </c>
      <c r="L290" s="586">
        <v>12830.584743918373</v>
      </c>
      <c r="M290" s="586">
        <v>13607.949630682164</v>
      </c>
      <c r="N290" s="586">
        <v>14437.460368919512</v>
      </c>
      <c r="O290" s="587">
        <v>14830.280734786862</v>
      </c>
      <c r="P290" s="167">
        <v>15618.500162006314</v>
      </c>
      <c r="Q290" s="167">
        <v>16461.696399563421</v>
      </c>
      <c r="R290" s="167">
        <v>17353.294563301479</v>
      </c>
      <c r="S290" s="167">
        <v>18327.446213341806</v>
      </c>
      <c r="T290" s="167">
        <v>18699.377361803865</v>
      </c>
      <c r="U290" s="167">
        <v>18954.28723938296</v>
      </c>
      <c r="V290" s="167">
        <v>19199.004954353324</v>
      </c>
      <c r="W290" s="167">
        <v>19371.62879942737</v>
      </c>
      <c r="X290" s="167">
        <v>19705.765512218662</v>
      </c>
      <c r="Y290"/>
      <c r="Z290"/>
      <c r="AA290"/>
      <c r="AB290"/>
      <c r="AC290"/>
      <c r="AD290"/>
      <c r="AE290"/>
      <c r="AF290"/>
      <c r="AG290"/>
    </row>
    <row r="291" spans="1:33" ht="12.75" outlineLevel="1">
      <c r="A291" s="168" t="s">
        <v>31</v>
      </c>
      <c r="B291" s="581">
        <f>NPV(0.1,D291:Y291)</f>
        <v>94975.319249428008</v>
      </c>
      <c r="C291" s="581">
        <f>B291-B281</f>
        <v>0</v>
      </c>
      <c r="D291" s="588">
        <v>2977.6144153914329</v>
      </c>
      <c r="E291" s="589">
        <v>5546.3544187187017</v>
      </c>
      <c r="F291" s="589">
        <v>4985.9054438385156</v>
      </c>
      <c r="G291" s="589">
        <v>4975.0868545589601</v>
      </c>
      <c r="H291" s="589">
        <v>13867.020441297911</v>
      </c>
      <c r="I291" s="589">
        <v>17567.404565875095</v>
      </c>
      <c r="J291" s="589">
        <v>12582.91361848238</v>
      </c>
      <c r="K291" s="589">
        <v>12188.746221636133</v>
      </c>
      <c r="L291" s="589">
        <v>12154.148960000944</v>
      </c>
      <c r="M291" s="589">
        <v>12110.35963206935</v>
      </c>
      <c r="N291" s="589">
        <v>12028.622206276406</v>
      </c>
      <c r="O291" s="590">
        <v>12547.105200891152</v>
      </c>
      <c r="P291" s="167">
        <v>11535.938395679193</v>
      </c>
      <c r="Q291" s="167">
        <v>11337.845669574257</v>
      </c>
      <c r="R291" s="167">
        <v>11112.381657052581</v>
      </c>
      <c r="S291" s="167">
        <v>22660.31223437353</v>
      </c>
      <c r="T291" s="167">
        <v>21298.406514479509</v>
      </c>
      <c r="U291" s="167">
        <v>21536.975338533673</v>
      </c>
      <c r="V291" s="167">
        <v>21781.693053504048</v>
      </c>
      <c r="W291" s="167">
        <v>22052.363219727609</v>
      </c>
      <c r="X291" s="167">
        <v>22108.702022595262</v>
      </c>
      <c r="Y291"/>
      <c r="Z291"/>
      <c r="AA291"/>
      <c r="AB291"/>
      <c r="AC291"/>
      <c r="AD291"/>
      <c r="AE291"/>
      <c r="AF291"/>
      <c r="AG291"/>
    </row>
    <row r="292" spans="1:33" ht="12.75" outlineLevel="1">
      <c r="A292" s="163"/>
      <c r="B292" s="163"/>
      <c r="C292" s="163"/>
      <c r="D292"/>
      <c r="E292"/>
      <c r="F292"/>
      <c r="G292"/>
      <c r="H292"/>
      <c r="I292"/>
      <c r="J292"/>
      <c r="K292"/>
      <c r="L292"/>
      <c r="M292"/>
      <c r="N292"/>
      <c r="O292"/>
      <c r="P292"/>
      <c r="Q292"/>
      <c r="R292"/>
      <c r="S292"/>
      <c r="T292"/>
      <c r="U292"/>
      <c r="V292"/>
      <c r="W292"/>
      <c r="X292"/>
      <c r="Y292"/>
      <c r="Z292"/>
      <c r="AA292"/>
      <c r="AB292"/>
      <c r="AC292"/>
      <c r="AD292"/>
      <c r="AE292"/>
      <c r="AF292"/>
      <c r="AG292"/>
    </row>
    <row r="293" spans="1:33" ht="12.75" outlineLevel="1">
      <c r="A293" s="169" t="s">
        <v>631</v>
      </c>
      <c r="B293" s="163"/>
      <c r="C293" s="163"/>
      <c r="D293"/>
      <c r="E293"/>
      <c r="F293"/>
      <c r="G293"/>
      <c r="H293"/>
      <c r="I293"/>
      <c r="J293"/>
      <c r="K293"/>
      <c r="L293"/>
      <c r="M293"/>
      <c r="N293"/>
      <c r="O293"/>
      <c r="P293"/>
      <c r="Q293"/>
      <c r="R293"/>
      <c r="S293"/>
      <c r="T293"/>
      <c r="U293"/>
      <c r="V293"/>
      <c r="W293"/>
      <c r="X293"/>
      <c r="Y293"/>
      <c r="Z293"/>
      <c r="AA293"/>
      <c r="AB293"/>
      <c r="AC293"/>
      <c r="AD293"/>
      <c r="AE293"/>
      <c r="AF293"/>
      <c r="AG293"/>
    </row>
    <row r="294" spans="1:33" ht="12.75" outlineLevel="1">
      <c r="A294" s="416">
        <v>36268</v>
      </c>
      <c r="B294" s="163"/>
      <c r="C294" s="163"/>
      <c r="D294"/>
      <c r="E294"/>
      <c r="F294"/>
      <c r="G294"/>
      <c r="H294"/>
      <c r="I294"/>
      <c r="J294"/>
      <c r="K294"/>
      <c r="L294"/>
      <c r="M294"/>
      <c r="N294"/>
      <c r="O294"/>
      <c r="P294"/>
      <c r="Q294"/>
      <c r="R294"/>
      <c r="S294"/>
      <c r="T294"/>
      <c r="U294"/>
      <c r="V294"/>
      <c r="W294"/>
      <c r="X294"/>
      <c r="Y294"/>
      <c r="Z294"/>
      <c r="AA294"/>
      <c r="AB294"/>
      <c r="AC294"/>
      <c r="AD294"/>
      <c r="AE294"/>
      <c r="AF294"/>
      <c r="AG294"/>
    </row>
    <row r="295" spans="1:33" ht="12.75" outlineLevel="1">
      <c r="A295" s="164" t="s">
        <v>427</v>
      </c>
      <c r="B295" s="172">
        <v>26118.242791139575</v>
      </c>
      <c r="C295" s="163"/>
      <c r="D295"/>
      <c r="E295"/>
      <c r="F295"/>
      <c r="G295"/>
      <c r="H295"/>
      <c r="I295"/>
      <c r="J295"/>
      <c r="K295"/>
      <c r="L295"/>
      <c r="M295"/>
      <c r="N295"/>
      <c r="O295"/>
      <c r="P295"/>
      <c r="Q295"/>
      <c r="R295"/>
      <c r="S295"/>
      <c r="T295"/>
      <c r="U295"/>
      <c r="V295"/>
      <c r="W295"/>
      <c r="X295"/>
      <c r="Y295"/>
      <c r="Z295"/>
      <c r="AA295"/>
      <c r="AB295"/>
      <c r="AC295"/>
      <c r="AD295"/>
      <c r="AE295"/>
      <c r="AF295"/>
      <c r="AG295"/>
    </row>
    <row r="296" spans="1:33" ht="12.75" outlineLevel="1">
      <c r="A296" s="165" t="s">
        <v>428</v>
      </c>
      <c r="B296" s="173">
        <v>55728.882257238438</v>
      </c>
      <c r="C296" s="163"/>
      <c r="D296"/>
      <c r="E296"/>
      <c r="F296"/>
      <c r="G296"/>
      <c r="H296"/>
      <c r="I296"/>
      <c r="J296"/>
      <c r="K296"/>
      <c r="L296"/>
      <c r="M296"/>
      <c r="N296"/>
      <c r="O296"/>
      <c r="P296"/>
      <c r="Q296"/>
      <c r="R296"/>
      <c r="S296"/>
      <c r="T296"/>
      <c r="U296"/>
      <c r="V296"/>
      <c r="W296"/>
      <c r="X296"/>
      <c r="Y296"/>
      <c r="Z296"/>
      <c r="AA296"/>
      <c r="AB296"/>
      <c r="AC296"/>
      <c r="AD296"/>
      <c r="AE296"/>
      <c r="AF296"/>
      <c r="AG296"/>
    </row>
    <row r="297" spans="1:33" ht="12.75" outlineLevel="1">
      <c r="A297" s="166" t="s">
        <v>429</v>
      </c>
      <c r="B297" s="580" t="s">
        <v>499</v>
      </c>
      <c r="C297" s="580" t="s">
        <v>500</v>
      </c>
      <c r="D297" s="582">
        <v>1999</v>
      </c>
      <c r="E297" s="583">
        <v>2000</v>
      </c>
      <c r="F297" s="583">
        <v>2001</v>
      </c>
      <c r="G297" s="583">
        <v>2002</v>
      </c>
      <c r="H297" s="583">
        <v>2003</v>
      </c>
      <c r="I297" s="583">
        <v>2004</v>
      </c>
      <c r="J297" s="583">
        <v>2005</v>
      </c>
      <c r="K297" s="583">
        <v>2006</v>
      </c>
      <c r="L297" s="583">
        <v>2007</v>
      </c>
      <c r="M297" s="583">
        <v>2008</v>
      </c>
      <c r="N297" s="583">
        <v>2009</v>
      </c>
      <c r="O297" s="584">
        <v>2010</v>
      </c>
      <c r="P297" s="171">
        <v>2011</v>
      </c>
      <c r="Q297" s="171">
        <v>2012</v>
      </c>
      <c r="R297" s="171">
        <v>2013</v>
      </c>
      <c r="S297" s="171">
        <v>2014</v>
      </c>
      <c r="T297" s="171">
        <v>2015</v>
      </c>
      <c r="U297" s="171">
        <v>2016</v>
      </c>
      <c r="V297" s="171">
        <v>2017</v>
      </c>
      <c r="W297" s="171">
        <v>2018</v>
      </c>
      <c r="X297" s="171">
        <v>2019</v>
      </c>
      <c r="Y297"/>
      <c r="Z297"/>
      <c r="AA297"/>
      <c r="AB297"/>
      <c r="AC297"/>
      <c r="AD297"/>
      <c r="AE297"/>
      <c r="AF297"/>
      <c r="AG297"/>
    </row>
    <row r="298" spans="1:33" ht="12.75" outlineLevel="1">
      <c r="A298" s="166" t="s">
        <v>430</v>
      </c>
      <c r="B298" s="581">
        <f>NPV(0.1,D298:Y298)</f>
        <v>393685.7679172504</v>
      </c>
      <c r="C298" s="581">
        <f>B298-B288</f>
        <v>335.25831218552776</v>
      </c>
      <c r="D298" s="585">
        <v>28502.959309999998</v>
      </c>
      <c r="E298" s="586">
        <v>35740.101310000005</v>
      </c>
      <c r="F298" s="586">
        <v>35796.382570000002</v>
      </c>
      <c r="G298" s="586">
        <v>35854.352267800001</v>
      </c>
      <c r="H298" s="586">
        <v>44187.084302392243</v>
      </c>
      <c r="I298" s="586">
        <v>50316.619113825618</v>
      </c>
      <c r="J298" s="586">
        <v>50519.942261786848</v>
      </c>
      <c r="K298" s="586">
        <v>51299.15433447242</v>
      </c>
      <c r="L298" s="586">
        <v>52094.614636862512</v>
      </c>
      <c r="M298" s="586">
        <v>52906.596771873978</v>
      </c>
      <c r="N298" s="586">
        <v>53735.376135191953</v>
      </c>
      <c r="O298" s="587">
        <v>54581.22977659334</v>
      </c>
      <c r="P298" s="167">
        <v>55168.98761208111</v>
      </c>
      <c r="Q298" s="167">
        <v>55757.851264278215</v>
      </c>
      <c r="R298" s="167">
        <v>56347.358100135265</v>
      </c>
      <c r="S298" s="167">
        <v>56937.016733384895</v>
      </c>
      <c r="T298" s="167">
        <v>57526.305715718365</v>
      </c>
      <c r="U298" s="167">
        <v>57955.011942166042</v>
      </c>
      <c r="V298" s="167">
        <v>58372.630320435419</v>
      </c>
      <c r="W298" s="167">
        <v>58778.109744032015</v>
      </c>
      <c r="X298" s="167">
        <v>43010.244789135024</v>
      </c>
      <c r="Y298"/>
      <c r="Z298"/>
      <c r="AA298"/>
      <c r="AB298"/>
      <c r="AC298"/>
      <c r="AD298"/>
      <c r="AE298"/>
      <c r="AF298"/>
      <c r="AG298"/>
    </row>
    <row r="299" spans="1:33" ht="12.75" outlineLevel="1">
      <c r="A299" s="168" t="s">
        <v>431</v>
      </c>
      <c r="B299" s="581">
        <f>NPV(0.1,D299:Y299)</f>
        <v>186306.76568102851</v>
      </c>
      <c r="C299" s="581">
        <f>B299-B289</f>
        <v>126.075394757092</v>
      </c>
      <c r="D299" s="585">
        <v>19883.966052753483</v>
      </c>
      <c r="E299" s="586">
        <v>21246.270814148502</v>
      </c>
      <c r="F299" s="586">
        <v>21332.331740701495</v>
      </c>
      <c r="G299" s="586">
        <v>21421.58002257732</v>
      </c>
      <c r="H299" s="586">
        <v>21506.288473159741</v>
      </c>
      <c r="I299" s="586">
        <v>21588.87172543534</v>
      </c>
      <c r="J299" s="586">
        <v>21687.60104920049</v>
      </c>
      <c r="K299" s="586">
        <v>21785.552240549918</v>
      </c>
      <c r="L299" s="586">
        <v>21887.406545298851</v>
      </c>
      <c r="M299" s="586">
        <v>21993.252452415833</v>
      </c>
      <c r="N299" s="586">
        <v>22097.804914108317</v>
      </c>
      <c r="O299" s="587">
        <v>22989.002567659238</v>
      </c>
      <c r="P299" s="167">
        <v>23042.414395160853</v>
      </c>
      <c r="Q299" s="167">
        <v>23084.020373928939</v>
      </c>
      <c r="R299" s="167">
        <v>23130.284139852756</v>
      </c>
      <c r="S299" s="167">
        <v>23185.622233870705</v>
      </c>
      <c r="T299" s="167">
        <v>23217.539310416305</v>
      </c>
      <c r="U299" s="167">
        <v>23238.230478399601</v>
      </c>
      <c r="V299" s="167">
        <v>23264.148167481555</v>
      </c>
      <c r="W299" s="167">
        <v>23393.250378641787</v>
      </c>
      <c r="X299" s="167">
        <v>7090.6927608867609</v>
      </c>
      <c r="Y299"/>
      <c r="Z299"/>
      <c r="AA299"/>
      <c r="AB299"/>
      <c r="AC299"/>
      <c r="AD299"/>
      <c r="AE299"/>
      <c r="AF299"/>
      <c r="AG299"/>
    </row>
    <row r="300" spans="1:33" ht="12.75" outlineLevel="1">
      <c r="A300" s="168" t="s">
        <v>34</v>
      </c>
      <c r="B300" s="581">
        <f>NPV(0.1,D300:Y300)</f>
        <v>80160.458303381412</v>
      </c>
      <c r="C300" s="581">
        <f>B300-B290</f>
        <v>105.04944663842616</v>
      </c>
      <c r="D300" s="585">
        <v>1000.0455484067289</v>
      </c>
      <c r="E300" s="586">
        <v>1609.9199181339079</v>
      </c>
      <c r="F300" s="586">
        <v>1710.6258332970472</v>
      </c>
      <c r="G300" s="586">
        <v>1818.692167557439</v>
      </c>
      <c r="H300" s="586">
        <v>6981.5910726254788</v>
      </c>
      <c r="I300" s="586">
        <v>11015.481486499693</v>
      </c>
      <c r="J300" s="586">
        <v>11423.022724297043</v>
      </c>
      <c r="K300" s="586">
        <v>12113.344396163855</v>
      </c>
      <c r="L300" s="586">
        <v>12845.996948847813</v>
      </c>
      <c r="M300" s="586">
        <v>13624.109057169055</v>
      </c>
      <c r="N300" s="586">
        <v>14454.414845657235</v>
      </c>
      <c r="O300" s="587">
        <v>14848.08163700176</v>
      </c>
      <c r="P300" s="167">
        <v>15637.04683787817</v>
      </c>
      <c r="Q300" s="167">
        <v>16481.033895816661</v>
      </c>
      <c r="R300" s="167">
        <v>17373.471263957064</v>
      </c>
      <c r="S300" s="167">
        <v>18348.51410386814</v>
      </c>
      <c r="T300" s="167">
        <v>18720.726465089949</v>
      </c>
      <c r="U300" s="167">
        <v>18975.825129924226</v>
      </c>
      <c r="V300" s="167">
        <v>19220.723745192125</v>
      </c>
      <c r="W300" s="167">
        <v>19393.519960480073</v>
      </c>
      <c r="X300" s="167">
        <v>19727.819838786345</v>
      </c>
      <c r="Y300"/>
      <c r="Z300"/>
      <c r="AA300"/>
      <c r="AB300"/>
      <c r="AC300"/>
      <c r="AD300"/>
      <c r="AE300"/>
      <c r="AF300"/>
      <c r="AG300"/>
    </row>
    <row r="301" spans="1:33" ht="12.75" outlineLevel="1">
      <c r="A301" s="168" t="s">
        <v>31</v>
      </c>
      <c r="B301" s="581">
        <f>NPV(0.1,D301:Y301)</f>
        <v>95045.445076765463</v>
      </c>
      <c r="C301" s="581">
        <f>B301-B291</f>
        <v>70.125827337455121</v>
      </c>
      <c r="D301" s="588">
        <v>2980.7351681310874</v>
      </c>
      <c r="E301" s="589">
        <v>5551.7044794710055</v>
      </c>
      <c r="F301" s="589">
        <v>4991.2568761157872</v>
      </c>
      <c r="G301" s="589">
        <v>4980.4396991228969</v>
      </c>
      <c r="H301" s="589">
        <v>13881.093409721623</v>
      </c>
      <c r="I301" s="589">
        <v>17584.851239705768</v>
      </c>
      <c r="J301" s="589">
        <v>12565.097985613615</v>
      </c>
      <c r="K301" s="589">
        <v>12197.507961652769</v>
      </c>
      <c r="L301" s="589">
        <v>12162.87597963352</v>
      </c>
      <c r="M301" s="589">
        <v>12119.032288826569</v>
      </c>
      <c r="N301" s="589">
        <v>12037.218936469661</v>
      </c>
      <c r="O301" s="590">
        <v>12555.602360129224</v>
      </c>
      <c r="P301" s="167">
        <v>11544.253945212949</v>
      </c>
      <c r="Q301" s="167">
        <v>11345.950955536418</v>
      </c>
      <c r="R301" s="167">
        <v>11120.245661005221</v>
      </c>
      <c r="S301" s="167">
        <v>22681.380124899868</v>
      </c>
      <c r="T301" s="167">
        <v>21319.755617765593</v>
      </c>
      <c r="U301" s="167">
        <v>21558.513229074946</v>
      </c>
      <c r="V301" s="167">
        <v>21803.411844342845</v>
      </c>
      <c r="W301" s="167">
        <v>22074.254380780309</v>
      </c>
      <c r="X301" s="167">
        <v>22130.756349162944</v>
      </c>
      <c r="Y301"/>
      <c r="Z301"/>
      <c r="AA301"/>
      <c r="AB301"/>
      <c r="AC301"/>
      <c r="AD301"/>
      <c r="AE301"/>
      <c r="AF301"/>
      <c r="AG301"/>
    </row>
    <row r="302" spans="1:33" ht="12.75" outlineLevel="1">
      <c r="A302" s="163"/>
      <c r="B302" s="163"/>
      <c r="C302" s="163"/>
      <c r="D302"/>
      <c r="E302"/>
      <c r="F302"/>
      <c r="G302"/>
      <c r="H302"/>
      <c r="I302"/>
      <c r="J302"/>
      <c r="K302"/>
      <c r="L302"/>
      <c r="M302"/>
      <c r="N302"/>
      <c r="O302"/>
      <c r="P302"/>
      <c r="Q302"/>
      <c r="R302"/>
      <c r="S302"/>
      <c r="T302"/>
      <c r="U302"/>
      <c r="V302"/>
      <c r="W302"/>
      <c r="X302"/>
      <c r="Y302"/>
      <c r="Z302"/>
      <c r="AA302"/>
      <c r="AB302"/>
      <c r="AC302"/>
      <c r="AD302"/>
      <c r="AE302"/>
      <c r="AF302"/>
      <c r="AG302"/>
    </row>
    <row r="303" spans="1:33" ht="12.75" outlineLevel="1">
      <c r="A303" s="169" t="s">
        <v>632</v>
      </c>
      <c r="B303" s="163"/>
      <c r="C303" s="163"/>
      <c r="D303"/>
      <c r="E303"/>
      <c r="F303"/>
      <c r="G303"/>
      <c r="H303"/>
      <c r="I303"/>
      <c r="J303"/>
      <c r="K303"/>
      <c r="L303"/>
      <c r="M303"/>
      <c r="N303"/>
      <c r="O303"/>
      <c r="P303"/>
      <c r="Q303"/>
      <c r="R303"/>
      <c r="S303"/>
      <c r="T303"/>
      <c r="U303"/>
      <c r="V303"/>
      <c r="W303"/>
      <c r="X303"/>
      <c r="Y303"/>
      <c r="Z303"/>
      <c r="AA303"/>
      <c r="AB303"/>
      <c r="AC303"/>
      <c r="AD303"/>
      <c r="AE303"/>
      <c r="AF303"/>
      <c r="AG303"/>
    </row>
    <row r="304" spans="1:33" ht="12" customHeight="1">
      <c r="A304" s="416">
        <v>36268</v>
      </c>
      <c r="B304" s="163"/>
      <c r="C304" s="163"/>
      <c r="D304"/>
      <c r="E304"/>
      <c r="F304"/>
      <c r="G304"/>
      <c r="H304"/>
      <c r="I304"/>
      <c r="J304"/>
      <c r="K304"/>
      <c r="L304"/>
      <c r="M304"/>
      <c r="N304"/>
      <c r="O304"/>
      <c r="P304"/>
      <c r="Q304"/>
      <c r="R304"/>
      <c r="S304"/>
      <c r="T304"/>
      <c r="U304"/>
      <c r="V304"/>
      <c r="W304"/>
      <c r="X304"/>
      <c r="Y304"/>
      <c r="Z304"/>
      <c r="AA304"/>
      <c r="AB304"/>
      <c r="AC304"/>
      <c r="AD304"/>
      <c r="AE304"/>
      <c r="AF304"/>
      <c r="AG304"/>
    </row>
    <row r="305" spans="1:33" ht="12.75">
      <c r="A305" s="164" t="s">
        <v>427</v>
      </c>
      <c r="B305" s="172">
        <v>36179.107371010876</v>
      </c>
      <c r="C305" s="163"/>
      <c r="D305"/>
      <c r="E305"/>
      <c r="F305"/>
      <c r="G305"/>
      <c r="H305"/>
      <c r="I305"/>
      <c r="J305"/>
      <c r="K305"/>
      <c r="L305"/>
      <c r="M305"/>
      <c r="N305"/>
      <c r="O305"/>
      <c r="P305"/>
      <c r="Q305"/>
      <c r="R305"/>
      <c r="S305"/>
      <c r="T305"/>
      <c r="U305"/>
      <c r="V305"/>
      <c r="W305"/>
      <c r="X305"/>
      <c r="Y305"/>
      <c r="Z305"/>
      <c r="AA305"/>
      <c r="AB305"/>
      <c r="AC305"/>
      <c r="AD305"/>
      <c r="AE305"/>
      <c r="AF305"/>
      <c r="AG305"/>
    </row>
    <row r="306" spans="1:33" ht="12.75">
      <c r="A306" s="165" t="s">
        <v>428</v>
      </c>
      <c r="B306" s="173">
        <v>68725.306946110199</v>
      </c>
      <c r="C306" s="163"/>
      <c r="D306"/>
      <c r="E306"/>
      <c r="F306"/>
      <c r="G306"/>
      <c r="H306"/>
      <c r="I306"/>
      <c r="J306"/>
      <c r="K306"/>
      <c r="L306"/>
      <c r="M306"/>
      <c r="N306"/>
      <c r="O306"/>
      <c r="P306"/>
      <c r="Q306"/>
      <c r="R306"/>
      <c r="S306"/>
      <c r="T306"/>
      <c r="U306"/>
      <c r="V306"/>
      <c r="W306"/>
      <c r="X306"/>
      <c r="Y306"/>
      <c r="Z306"/>
      <c r="AA306"/>
      <c r="AB306"/>
      <c r="AC306"/>
      <c r="AD306"/>
      <c r="AE306"/>
      <c r="AF306"/>
      <c r="AG306"/>
    </row>
    <row r="307" spans="1:33" ht="12.75">
      <c r="A307" s="166" t="s">
        <v>429</v>
      </c>
      <c r="B307" s="580" t="s">
        <v>499</v>
      </c>
      <c r="C307" s="580" t="s">
        <v>500</v>
      </c>
      <c r="D307" s="582">
        <v>1999</v>
      </c>
      <c r="E307" s="583">
        <v>2000</v>
      </c>
      <c r="F307" s="583">
        <v>2001</v>
      </c>
      <c r="G307" s="583">
        <v>2002</v>
      </c>
      <c r="H307" s="583">
        <v>2003</v>
      </c>
      <c r="I307" s="583">
        <v>2004</v>
      </c>
      <c r="J307" s="583">
        <v>2005</v>
      </c>
      <c r="K307" s="583">
        <v>2006</v>
      </c>
      <c r="L307" s="583">
        <v>2007</v>
      </c>
      <c r="M307" s="583">
        <v>2008</v>
      </c>
      <c r="N307" s="583">
        <v>2009</v>
      </c>
      <c r="O307" s="584">
        <v>2010</v>
      </c>
      <c r="P307" s="171">
        <v>2011</v>
      </c>
      <c r="Q307" s="171">
        <v>2012</v>
      </c>
      <c r="R307" s="171">
        <v>2013</v>
      </c>
      <c r="S307" s="171">
        <v>2014</v>
      </c>
      <c r="T307" s="171">
        <v>2015</v>
      </c>
      <c r="U307" s="171">
        <v>2016</v>
      </c>
      <c r="V307" s="171">
        <v>2017</v>
      </c>
      <c r="W307" s="171">
        <v>2018</v>
      </c>
      <c r="X307" s="171">
        <v>2019</v>
      </c>
      <c r="Y307"/>
      <c r="Z307"/>
      <c r="AA307"/>
      <c r="AB307"/>
      <c r="AC307"/>
      <c r="AD307"/>
      <c r="AE307"/>
      <c r="AF307"/>
      <c r="AG307"/>
    </row>
    <row r="308" spans="1:33" ht="12.75">
      <c r="A308" s="166" t="s">
        <v>430</v>
      </c>
      <c r="B308" s="581">
        <f>NPV(0.1,D308:Y308)</f>
        <v>405817.85157398024</v>
      </c>
      <c r="C308" s="581">
        <f>B308-B298</f>
        <v>12132.083656729839</v>
      </c>
      <c r="D308" s="585">
        <v>30823.459309999998</v>
      </c>
      <c r="E308" s="586">
        <v>39718.101310000005</v>
      </c>
      <c r="F308" s="586">
        <v>39774.382570000002</v>
      </c>
      <c r="G308" s="586">
        <v>39832.352267800001</v>
      </c>
      <c r="H308" s="586">
        <v>45844.584302392243</v>
      </c>
      <c r="I308" s="586">
        <v>50316.619113825618</v>
      </c>
      <c r="J308" s="586">
        <v>50519.942261786848</v>
      </c>
      <c r="K308" s="586">
        <v>51299.15433447242</v>
      </c>
      <c r="L308" s="586">
        <v>52094.614636862512</v>
      </c>
      <c r="M308" s="586">
        <v>52906.596771873978</v>
      </c>
      <c r="N308" s="586">
        <v>53735.376135191953</v>
      </c>
      <c r="O308" s="587">
        <v>54581.22977659334</v>
      </c>
      <c r="P308" s="167">
        <v>55168.98761208111</v>
      </c>
      <c r="Q308" s="167">
        <v>55757.851264278215</v>
      </c>
      <c r="R308" s="167">
        <v>56347.358100135265</v>
      </c>
      <c r="S308" s="167">
        <v>56937.016733384895</v>
      </c>
      <c r="T308" s="167">
        <v>57526.305715718365</v>
      </c>
      <c r="U308" s="167">
        <v>57955.011942166042</v>
      </c>
      <c r="V308" s="167">
        <v>58372.630320435419</v>
      </c>
      <c r="W308" s="167">
        <v>58778.109744032015</v>
      </c>
      <c r="X308" s="167">
        <v>43010.244789135024</v>
      </c>
      <c r="Y308"/>
      <c r="Z308"/>
      <c r="AA308"/>
      <c r="AB308"/>
      <c r="AC308"/>
      <c r="AD308"/>
      <c r="AE308"/>
      <c r="AF308"/>
      <c r="AG308"/>
    </row>
    <row r="309" spans="1:33" ht="12.75">
      <c r="A309" s="168" t="s">
        <v>431</v>
      </c>
      <c r="B309" s="581">
        <f>NPV(0.1,D309:Y309)</f>
        <v>186277.04114399527</v>
      </c>
      <c r="C309" s="581">
        <f>B309-B299</f>
        <v>-29.724537033238448</v>
      </c>
      <c r="D309" s="585">
        <v>19882.08659233529</v>
      </c>
      <c r="E309" s="586">
        <v>21241.081379866944</v>
      </c>
      <c r="F309" s="586">
        <v>21323.674539201591</v>
      </c>
      <c r="G309" s="586">
        <v>21409.284955706629</v>
      </c>
      <c r="H309" s="586">
        <v>21492.887822959292</v>
      </c>
      <c r="I309" s="586">
        <v>21587.978116744376</v>
      </c>
      <c r="J309" s="586">
        <v>21687.60104920049</v>
      </c>
      <c r="K309" s="586">
        <v>21785.552240549918</v>
      </c>
      <c r="L309" s="586">
        <v>21887.406545298851</v>
      </c>
      <c r="M309" s="586">
        <v>21993.252452415833</v>
      </c>
      <c r="N309" s="586">
        <v>22097.804914108317</v>
      </c>
      <c r="O309" s="587">
        <v>22989.002567659238</v>
      </c>
      <c r="P309" s="167">
        <v>23042.414395160853</v>
      </c>
      <c r="Q309" s="167">
        <v>23084.020373928939</v>
      </c>
      <c r="R309" s="167">
        <v>23130.284139852756</v>
      </c>
      <c r="S309" s="167">
        <v>23185.622233870705</v>
      </c>
      <c r="T309" s="167">
        <v>23217.539310416305</v>
      </c>
      <c r="U309" s="167">
        <v>23238.230478399601</v>
      </c>
      <c r="V309" s="167">
        <v>23264.148167481555</v>
      </c>
      <c r="W309" s="167">
        <v>23393.250378641787</v>
      </c>
      <c r="X309" s="167">
        <v>7090.6927608867609</v>
      </c>
      <c r="Y309"/>
      <c r="Z309"/>
      <c r="AA309"/>
      <c r="AB309"/>
      <c r="AC309"/>
      <c r="AD309"/>
      <c r="AE309"/>
      <c r="AF309"/>
      <c r="AG309"/>
    </row>
    <row r="310" spans="1:33" ht="12.75">
      <c r="A310" s="168" t="s">
        <v>34</v>
      </c>
      <c r="B310" s="581">
        <f>NPV(0.1,D310:Y310)</f>
        <v>86947.168634032976</v>
      </c>
      <c r="C310" s="581">
        <f>B310-B300</f>
        <v>6786.7103306515637</v>
      </c>
      <c r="D310" s="585">
        <v>2213.7101844689569</v>
      </c>
      <c r="E310" s="586">
        <v>3747.340948855252</v>
      </c>
      <c r="F310" s="586">
        <v>3949.9421808296747</v>
      </c>
      <c r="G310" s="586">
        <v>4167.849674967636</v>
      </c>
      <c r="H310" s="586">
        <v>7995.6830565019309</v>
      </c>
      <c r="I310" s="586">
        <v>11016.023837679062</v>
      </c>
      <c r="J310" s="586">
        <v>11423.022724297041</v>
      </c>
      <c r="K310" s="586">
        <v>12113.344396163855</v>
      </c>
      <c r="L310" s="586">
        <v>12845.996948847813</v>
      </c>
      <c r="M310" s="586">
        <v>13624.109057169055</v>
      </c>
      <c r="N310" s="586">
        <v>14454.414845657235</v>
      </c>
      <c r="O310" s="587">
        <v>14848.08163700176</v>
      </c>
      <c r="P310" s="167">
        <v>15637.04683787817</v>
      </c>
      <c r="Q310" s="167">
        <v>16481.033895816661</v>
      </c>
      <c r="R310" s="167">
        <v>17373.471263957064</v>
      </c>
      <c r="S310" s="167">
        <v>18348.51410386814</v>
      </c>
      <c r="T310" s="167">
        <v>18720.726465089949</v>
      </c>
      <c r="U310" s="167">
        <v>18975.825129924226</v>
      </c>
      <c r="V310" s="167">
        <v>19220.723745192125</v>
      </c>
      <c r="W310" s="167">
        <v>19393.519960480073</v>
      </c>
      <c r="X310" s="167">
        <v>19727.819838786345</v>
      </c>
      <c r="Y310"/>
      <c r="Z310"/>
      <c r="AA310"/>
      <c r="AB310"/>
      <c r="AC310"/>
      <c r="AD310"/>
      <c r="AE310"/>
      <c r="AF310"/>
      <c r="AG310"/>
    </row>
    <row r="311" spans="1:33" ht="12.75">
      <c r="A311" s="168" t="s">
        <v>31</v>
      </c>
      <c r="B311" s="581">
        <f>NPV(0.1,D311:Y311)</f>
        <v>96405.182915925761</v>
      </c>
      <c r="C311" s="581">
        <f>B311-B301</f>
        <v>1359.7378391602979</v>
      </c>
      <c r="D311" s="588">
        <v>3783.8913981923793</v>
      </c>
      <c r="E311" s="589">
        <v>6929.2241588267079</v>
      </c>
      <c r="F311" s="589">
        <v>6369.9758249678371</v>
      </c>
      <c r="G311" s="589">
        <v>6360.4167430823418</v>
      </c>
      <c r="H311" s="589">
        <v>14718.591148847485</v>
      </c>
      <c r="I311" s="589">
        <v>12582.246020910123</v>
      </c>
      <c r="J311" s="589">
        <v>12207.654509228156</v>
      </c>
      <c r="K311" s="589">
        <v>12197.507961652773</v>
      </c>
      <c r="L311" s="589">
        <v>12162.87597963352</v>
      </c>
      <c r="M311" s="589">
        <v>12119.032288826569</v>
      </c>
      <c r="N311" s="589">
        <v>12037.218936469661</v>
      </c>
      <c r="O311" s="590">
        <v>12555.602360129224</v>
      </c>
      <c r="P311" s="167">
        <v>11544.253945212953</v>
      </c>
      <c r="Q311" s="167">
        <v>11345.950955536418</v>
      </c>
      <c r="R311" s="167">
        <v>11120.245661005221</v>
      </c>
      <c r="S311" s="167">
        <v>22681.380124899868</v>
      </c>
      <c r="T311" s="167">
        <v>21319.755617765593</v>
      </c>
      <c r="U311" s="167">
        <v>21558.513229074946</v>
      </c>
      <c r="V311" s="167">
        <v>21803.411844342845</v>
      </c>
      <c r="W311" s="167">
        <v>22074.254380780309</v>
      </c>
      <c r="X311" s="167">
        <v>22130.756349162944</v>
      </c>
      <c r="Y311"/>
      <c r="Z311"/>
      <c r="AA311"/>
      <c r="AB311"/>
      <c r="AC311"/>
      <c r="AD311"/>
      <c r="AE311"/>
      <c r="AF311"/>
      <c r="AG311"/>
    </row>
    <row r="312" spans="1:33" ht="12.75">
      <c r="A312" s="163"/>
      <c r="B312" s="163"/>
      <c r="C312" s="163"/>
      <c r="D312"/>
      <c r="E312"/>
      <c r="F312"/>
      <c r="G312"/>
      <c r="H312"/>
      <c r="I312"/>
      <c r="J312"/>
      <c r="K312"/>
      <c r="L312"/>
      <c r="M312"/>
      <c r="N312"/>
      <c r="O312"/>
      <c r="P312"/>
      <c r="Q312"/>
      <c r="R312"/>
      <c r="S312"/>
      <c r="T312"/>
      <c r="U312"/>
      <c r="V312"/>
      <c r="W312"/>
      <c r="X312"/>
      <c r="Y312"/>
      <c r="Z312"/>
      <c r="AA312"/>
      <c r="AB312"/>
      <c r="AC312"/>
      <c r="AD312"/>
      <c r="AE312"/>
      <c r="AF312"/>
      <c r="AG312"/>
    </row>
    <row r="313" spans="1:33" ht="12.75">
      <c r="A313" s="169" t="s">
        <v>634</v>
      </c>
      <c r="B313" s="163"/>
      <c r="C313" s="163"/>
      <c r="D313"/>
      <c r="E313"/>
      <c r="F313"/>
      <c r="G313"/>
      <c r="H313"/>
      <c r="I313"/>
      <c r="J313"/>
      <c r="K313"/>
      <c r="L313"/>
      <c r="M313"/>
      <c r="N313"/>
      <c r="O313"/>
      <c r="P313"/>
      <c r="Q313"/>
      <c r="R313"/>
      <c r="S313"/>
      <c r="T313"/>
      <c r="U313"/>
      <c r="V313"/>
      <c r="W313"/>
      <c r="X313"/>
      <c r="Y313"/>
      <c r="Z313"/>
      <c r="AA313"/>
      <c r="AB313"/>
      <c r="AC313"/>
      <c r="AD313"/>
      <c r="AE313"/>
      <c r="AF313"/>
      <c r="AG313"/>
    </row>
    <row r="314" spans="1:33" ht="12.75">
      <c r="A314" s="416">
        <v>36271</v>
      </c>
      <c r="B314" s="163"/>
      <c r="C314" s="163"/>
      <c r="D314"/>
      <c r="E314"/>
      <c r="F314"/>
      <c r="G314"/>
      <c r="H314"/>
      <c r="I314"/>
      <c r="J314"/>
      <c r="K314"/>
      <c r="L314"/>
      <c r="M314"/>
      <c r="N314"/>
      <c r="O314"/>
      <c r="P314"/>
      <c r="Q314"/>
      <c r="R314"/>
      <c r="S314"/>
      <c r="T314"/>
      <c r="U314"/>
      <c r="V314"/>
      <c r="W314"/>
      <c r="X314"/>
      <c r="Y314"/>
      <c r="Z314"/>
      <c r="AA314"/>
      <c r="AB314"/>
      <c r="AC314"/>
      <c r="AD314"/>
      <c r="AE314"/>
      <c r="AF314"/>
      <c r="AG314"/>
    </row>
    <row r="315" spans="1:33" ht="12.75">
      <c r="A315" s="164" t="s">
        <v>427</v>
      </c>
      <c r="B315" s="172">
        <v>36170.053111124362</v>
      </c>
      <c r="C315" s="163"/>
      <c r="D315"/>
      <c r="E315"/>
      <c r="F315"/>
      <c r="G315"/>
      <c r="H315"/>
      <c r="I315"/>
      <c r="J315"/>
      <c r="K315"/>
      <c r="L315"/>
      <c r="M315"/>
      <c r="N315"/>
      <c r="O315"/>
      <c r="P315"/>
      <c r="Q315"/>
      <c r="R315"/>
      <c r="S315"/>
      <c r="T315"/>
      <c r="U315"/>
      <c r="V315"/>
      <c r="W315"/>
      <c r="X315"/>
      <c r="Y315"/>
      <c r="Z315"/>
      <c r="AA315"/>
      <c r="AB315"/>
      <c r="AC315"/>
      <c r="AD315"/>
      <c r="AE315"/>
      <c r="AF315"/>
      <c r="AG315"/>
    </row>
    <row r="316" spans="1:33" ht="12.75">
      <c r="A316" s="165" t="s">
        <v>428</v>
      </c>
      <c r="B316" s="173">
        <v>68714.456246488757</v>
      </c>
      <c r="C316" s="163"/>
      <c r="D316"/>
      <c r="E316"/>
      <c r="F316"/>
      <c r="G316"/>
      <c r="H316"/>
      <c r="I316"/>
      <c r="J316"/>
      <c r="K316"/>
      <c r="L316"/>
      <c r="M316"/>
      <c r="N316"/>
      <c r="O316"/>
      <c r="P316"/>
      <c r="Q316"/>
      <c r="R316"/>
      <c r="S316"/>
      <c r="T316"/>
      <c r="U316"/>
      <c r="V316"/>
      <c r="W316"/>
      <c r="X316"/>
      <c r="Y316"/>
      <c r="Z316"/>
      <c r="AA316"/>
      <c r="AB316"/>
      <c r="AC316"/>
      <c r="AD316"/>
      <c r="AE316"/>
      <c r="AF316"/>
      <c r="AG316"/>
    </row>
    <row r="317" spans="1:33" ht="12.75">
      <c r="A317" s="166" t="s">
        <v>429</v>
      </c>
      <c r="B317" s="580" t="s">
        <v>499</v>
      </c>
      <c r="C317" s="580" t="s">
        <v>500</v>
      </c>
      <c r="D317" s="582">
        <v>1999</v>
      </c>
      <c r="E317" s="583">
        <v>2000</v>
      </c>
      <c r="F317" s="583">
        <v>2001</v>
      </c>
      <c r="G317" s="583">
        <v>2002</v>
      </c>
      <c r="H317" s="583">
        <v>2003</v>
      </c>
      <c r="I317" s="583">
        <v>2004</v>
      </c>
      <c r="J317" s="583">
        <v>2005</v>
      </c>
      <c r="K317" s="583">
        <v>2006</v>
      </c>
      <c r="L317" s="583">
        <v>2007</v>
      </c>
      <c r="M317" s="583">
        <v>2008</v>
      </c>
      <c r="N317" s="583">
        <v>2009</v>
      </c>
      <c r="O317" s="584">
        <v>2010</v>
      </c>
      <c r="P317" s="171">
        <v>2011</v>
      </c>
      <c r="Q317" s="171">
        <v>2012</v>
      </c>
      <c r="R317" s="171">
        <v>2013</v>
      </c>
      <c r="S317" s="171">
        <v>2014</v>
      </c>
      <c r="T317" s="171">
        <v>2015</v>
      </c>
      <c r="U317" s="171">
        <v>2016</v>
      </c>
      <c r="V317" s="171">
        <v>2017</v>
      </c>
      <c r="W317" s="171">
        <v>2018</v>
      </c>
      <c r="X317" s="171">
        <v>2019</v>
      </c>
      <c r="Y317"/>
      <c r="Z317"/>
      <c r="AA317"/>
      <c r="AB317"/>
      <c r="AC317"/>
      <c r="AD317"/>
      <c r="AE317"/>
      <c r="AF317"/>
      <c r="AG317"/>
    </row>
    <row r="318" spans="1:33" ht="12.75">
      <c r="A318" s="166" t="s">
        <v>430</v>
      </c>
      <c r="B318" s="581">
        <f>NPV(0.1,D318:Y318)</f>
        <v>405817.85157398024</v>
      </c>
      <c r="C318" s="581">
        <f>B318-B308</f>
        <v>0</v>
      </c>
      <c r="D318" s="585">
        <v>30823.459309999998</v>
      </c>
      <c r="E318" s="586">
        <v>39718.101310000005</v>
      </c>
      <c r="F318" s="586">
        <v>39774.382570000002</v>
      </c>
      <c r="G318" s="586">
        <v>39832.352267800001</v>
      </c>
      <c r="H318" s="586">
        <v>45844.584302392243</v>
      </c>
      <c r="I318" s="586">
        <v>50316.619113825618</v>
      </c>
      <c r="J318" s="586">
        <v>50519.942261786848</v>
      </c>
      <c r="K318" s="586">
        <v>51299.15433447242</v>
      </c>
      <c r="L318" s="586">
        <v>52094.614636862512</v>
      </c>
      <c r="M318" s="586">
        <v>52906.596771873978</v>
      </c>
      <c r="N318" s="586">
        <v>53735.376135191953</v>
      </c>
      <c r="O318" s="587">
        <v>54581.22977659334</v>
      </c>
      <c r="P318" s="167">
        <v>55168.98761208111</v>
      </c>
      <c r="Q318" s="167">
        <v>55757.851264278215</v>
      </c>
      <c r="R318" s="167">
        <v>56347.358100135265</v>
      </c>
      <c r="S318" s="167">
        <v>56937.016733384895</v>
      </c>
      <c r="T318" s="167">
        <v>57526.305715718365</v>
      </c>
      <c r="U318" s="167">
        <v>57955.011942166042</v>
      </c>
      <c r="V318" s="167">
        <v>58372.630320435419</v>
      </c>
      <c r="W318" s="167">
        <v>58778.109744032015</v>
      </c>
      <c r="X318" s="167">
        <v>43010.244789135024</v>
      </c>
      <c r="Y318"/>
      <c r="Z318"/>
      <c r="AA318"/>
      <c r="AB318"/>
      <c r="AC318"/>
      <c r="AD318"/>
      <c r="AE318"/>
      <c r="AF318"/>
      <c r="AG318"/>
    </row>
    <row r="319" spans="1:33" ht="12.75">
      <c r="A319" s="168" t="s">
        <v>431</v>
      </c>
      <c r="B319" s="581">
        <f>NPV(0.1,D319:Y319)</f>
        <v>186277.20230773577</v>
      </c>
      <c r="C319" s="581">
        <f>B319-B309</f>
        <v>0.1611637405003421</v>
      </c>
      <c r="D319" s="585">
        <v>19882.113032775</v>
      </c>
      <c r="E319" s="586">
        <v>21241.107344735341</v>
      </c>
      <c r="F319" s="586">
        <v>21323.700028859956</v>
      </c>
      <c r="G319" s="586">
        <v>21409.309970556806</v>
      </c>
      <c r="H319" s="586">
        <v>21492.908413580477</v>
      </c>
      <c r="I319" s="586">
        <v>21587.997576176072</v>
      </c>
      <c r="J319" s="586">
        <v>21687.619411154243</v>
      </c>
      <c r="K319" s="586">
        <v>21785.569504004165</v>
      </c>
      <c r="L319" s="586">
        <v>21887.422711275154</v>
      </c>
      <c r="M319" s="586">
        <v>21993.267519892634</v>
      </c>
      <c r="N319" s="586">
        <v>22097.818884107171</v>
      </c>
      <c r="O319" s="587">
        <v>22989.015439158586</v>
      </c>
      <c r="P319" s="167">
        <v>23042.426169182258</v>
      </c>
      <c r="Q319" s="167">
        <v>23084.031049450841</v>
      </c>
      <c r="R319" s="167">
        <v>23130.293717896711</v>
      </c>
      <c r="S319" s="167">
        <v>23185.631015797469</v>
      </c>
      <c r="T319" s="167">
        <v>23217.547597586632</v>
      </c>
      <c r="U319" s="167">
        <v>23238.23827081349</v>
      </c>
      <c r="V319" s="167">
        <v>23264.155465139011</v>
      </c>
      <c r="W319" s="167">
        <v>23393.257181542802</v>
      </c>
      <c r="X319" s="167">
        <v>7090.6990690313396</v>
      </c>
      <c r="Y319"/>
      <c r="Z319"/>
      <c r="AA319"/>
      <c r="AB319"/>
      <c r="AC319"/>
      <c r="AD319"/>
      <c r="AE319"/>
      <c r="AF319"/>
      <c r="AG319"/>
    </row>
    <row r="320" spans="1:33" ht="12.75">
      <c r="A320" s="168" t="s">
        <v>34</v>
      </c>
      <c r="B320" s="581">
        <f>NPV(0.1,D320:Y320)</f>
        <v>86945.447232157749</v>
      </c>
      <c r="C320" s="581">
        <f>B320-B310</f>
        <v>-1.7214018752274569</v>
      </c>
      <c r="D320" s="585">
        <v>2213.5808268816781</v>
      </c>
      <c r="E320" s="586">
        <v>3747.1306574559089</v>
      </c>
      <c r="F320" s="586">
        <v>3949.731656132677</v>
      </c>
      <c r="G320" s="586">
        <v>4167.638890776313</v>
      </c>
      <c r="H320" s="586">
        <v>7995.4745242222552</v>
      </c>
      <c r="I320" s="586">
        <v>11015.815785284611</v>
      </c>
      <c r="J320" s="586">
        <v>11422.815134874574</v>
      </c>
      <c r="K320" s="586">
        <v>12113.137274182895</v>
      </c>
      <c r="L320" s="586">
        <v>12845.79029782713</v>
      </c>
      <c r="M320" s="586">
        <v>13623.902882217229</v>
      </c>
      <c r="N320" s="586">
        <v>14454.209150983233</v>
      </c>
      <c r="O320" s="587">
        <v>14847.876428459569</v>
      </c>
      <c r="P320" s="167">
        <v>15636.842120481784</v>
      </c>
      <c r="Q320" s="167">
        <v>16480.829676289497</v>
      </c>
      <c r="R320" s="167">
        <v>17373.26754825213</v>
      </c>
      <c r="S320" s="167">
        <v>18348.310710667869</v>
      </c>
      <c r="T320" s="167">
        <v>18720.523381220679</v>
      </c>
      <c r="U320" s="167">
        <v>18975.622355385953</v>
      </c>
      <c r="V320" s="167">
        <v>19220.521279984852</v>
      </c>
      <c r="W320" s="167">
        <v>19393.317804603801</v>
      </c>
      <c r="X320" s="167">
        <v>19727.617992241077</v>
      </c>
      <c r="Y320"/>
      <c r="Z320"/>
      <c r="AA320"/>
      <c r="AB320"/>
      <c r="AC320"/>
      <c r="AD320"/>
      <c r="AE320"/>
      <c r="AF320"/>
      <c r="AG320"/>
    </row>
    <row r="321" spans="1:33" ht="12.75">
      <c r="A321" s="168" t="s">
        <v>31</v>
      </c>
      <c r="B321" s="581">
        <f>NPV(0.1,D321:Y321)</f>
        <v>96407.060012181086</v>
      </c>
      <c r="C321" s="581">
        <f>B321-B311</f>
        <v>1.8770962553244317</v>
      </c>
      <c r="D321" s="588">
        <v>3783.8822542069788</v>
      </c>
      <c r="E321" s="589">
        <v>6929.2151793097228</v>
      </c>
      <c r="F321" s="589">
        <v>6369.967009794319</v>
      </c>
      <c r="G321" s="589">
        <v>6360.4080921133236</v>
      </c>
      <c r="H321" s="589">
        <v>14720.156910506035</v>
      </c>
      <c r="I321" s="589">
        <v>12582.494962362587</v>
      </c>
      <c r="J321" s="589">
        <v>12207.890351488888</v>
      </c>
      <c r="K321" s="589">
        <v>12197.744595820415</v>
      </c>
      <c r="L321" s="589">
        <v>12163.112585653224</v>
      </c>
      <c r="M321" s="589">
        <v>12119.269681409107</v>
      </c>
      <c r="N321" s="589">
        <v>12037.456295132664</v>
      </c>
      <c r="O321" s="590">
        <v>12555.840499121749</v>
      </c>
      <c r="P321" s="167">
        <v>11544.492043553948</v>
      </c>
      <c r="Q321" s="167">
        <v>11346.189826936383</v>
      </c>
      <c r="R321" s="167">
        <v>11120.48448390147</v>
      </c>
      <c r="S321" s="167">
        <v>22681.495178575846</v>
      </c>
      <c r="T321" s="167">
        <v>21319.750436471324</v>
      </c>
      <c r="U321" s="167">
        <v>21558.50835711167</v>
      </c>
      <c r="V321" s="167">
        <v>21803.407281710573</v>
      </c>
      <c r="W321" s="167">
        <v>22074.250127479041</v>
      </c>
      <c r="X321" s="167">
        <v>22130.752405192674</v>
      </c>
      <c r="Y321"/>
      <c r="Z321"/>
      <c r="AA321"/>
      <c r="AB321"/>
      <c r="AC321"/>
      <c r="AD321"/>
      <c r="AE321"/>
      <c r="AF321"/>
      <c r="AG321"/>
    </row>
    <row r="322" spans="1:33" ht="12.75">
      <c r="A322" s="163"/>
      <c r="B322" s="163"/>
      <c r="C322" s="163"/>
      <c r="D322"/>
      <c r="E322"/>
      <c r="F322"/>
      <c r="G322"/>
      <c r="H322"/>
      <c r="I322"/>
      <c r="J322"/>
      <c r="K322"/>
      <c r="L322"/>
      <c r="M322"/>
      <c r="N322"/>
      <c r="O322"/>
      <c r="P322"/>
      <c r="Q322"/>
      <c r="R322"/>
      <c r="S322"/>
      <c r="T322"/>
      <c r="U322"/>
      <c r="V322"/>
      <c r="W322"/>
      <c r="X322"/>
      <c r="Y322"/>
      <c r="Z322"/>
      <c r="AA322"/>
      <c r="AB322"/>
      <c r="AC322"/>
      <c r="AD322"/>
      <c r="AE322"/>
      <c r="AF322"/>
      <c r="AG322"/>
    </row>
    <row r="323" spans="1:33" ht="12.75">
      <c r="A323" s="169" t="s">
        <v>635</v>
      </c>
      <c r="B323" s="163"/>
      <c r="C323" s="163"/>
      <c r="D323"/>
      <c r="E323"/>
      <c r="F323"/>
      <c r="G323"/>
      <c r="H323"/>
      <c r="I323"/>
      <c r="J323"/>
      <c r="K323"/>
      <c r="L323"/>
      <c r="M323"/>
      <c r="N323"/>
      <c r="O323"/>
      <c r="P323"/>
      <c r="Q323"/>
      <c r="R323"/>
      <c r="S323"/>
      <c r="T323"/>
      <c r="U323"/>
      <c r="V323"/>
      <c r="W323"/>
      <c r="X323"/>
      <c r="Y323"/>
      <c r="Z323"/>
      <c r="AA323"/>
      <c r="AB323"/>
      <c r="AC323"/>
      <c r="AD323"/>
      <c r="AE323"/>
      <c r="AF323"/>
      <c r="AG323"/>
    </row>
    <row r="324" spans="1:33" ht="12.75">
      <c r="A324" s="416">
        <v>36271</v>
      </c>
      <c r="B324" s="163"/>
      <c r="C324" s="163"/>
      <c r="D324"/>
      <c r="E324"/>
      <c r="F324"/>
      <c r="G324"/>
      <c r="H324"/>
      <c r="I324"/>
      <c r="J324"/>
      <c r="K324"/>
      <c r="L324"/>
      <c r="M324"/>
      <c r="N324"/>
      <c r="O324"/>
      <c r="P324"/>
      <c r="Q324"/>
      <c r="R324"/>
      <c r="S324"/>
      <c r="T324"/>
      <c r="U324"/>
      <c r="V324"/>
      <c r="W324"/>
      <c r="X324"/>
      <c r="Y324"/>
      <c r="Z324"/>
      <c r="AA324"/>
      <c r="AB324"/>
      <c r="AC324"/>
      <c r="AD324"/>
      <c r="AE324"/>
      <c r="AF324"/>
      <c r="AG324"/>
    </row>
    <row r="325" spans="1:33" ht="12.75">
      <c r="A325" s="164" t="s">
        <v>427</v>
      </c>
      <c r="B325" s="172">
        <v>35834.653990620784</v>
      </c>
      <c r="C325" s="163"/>
      <c r="D325"/>
      <c r="E325"/>
      <c r="F325"/>
      <c r="G325"/>
      <c r="H325"/>
      <c r="I325"/>
      <c r="J325"/>
      <c r="K325"/>
      <c r="L325"/>
      <c r="M325"/>
      <c r="N325"/>
      <c r="O325"/>
      <c r="P325"/>
      <c r="Q325"/>
      <c r="R325"/>
      <c r="S325"/>
      <c r="T325"/>
      <c r="U325"/>
      <c r="V325"/>
      <c r="W325"/>
      <c r="X325"/>
      <c r="Y325"/>
      <c r="Z325"/>
      <c r="AA325"/>
      <c r="AB325"/>
      <c r="AC325"/>
      <c r="AD325"/>
      <c r="AE325"/>
      <c r="AF325"/>
      <c r="AG325"/>
    </row>
    <row r="326" spans="1:33" ht="12.75">
      <c r="A326" s="165" t="s">
        <v>428</v>
      </c>
      <c r="B326" s="173">
        <v>68316.563334803272</v>
      </c>
      <c r="C326" s="163"/>
      <c r="D326"/>
      <c r="E326"/>
      <c r="F326"/>
      <c r="G326"/>
      <c r="H326"/>
      <c r="I326"/>
      <c r="J326"/>
      <c r="K326"/>
      <c r="L326"/>
      <c r="M326"/>
      <c r="N326"/>
      <c r="O326"/>
      <c r="P326"/>
      <c r="Q326"/>
      <c r="R326"/>
      <c r="S326"/>
      <c r="T326"/>
      <c r="U326"/>
      <c r="V326"/>
      <c r="W326"/>
      <c r="X326"/>
      <c r="Y326"/>
      <c r="Z326"/>
      <c r="AA326"/>
      <c r="AB326"/>
      <c r="AC326"/>
      <c r="AD326"/>
      <c r="AE326"/>
      <c r="AF326"/>
      <c r="AG326"/>
    </row>
    <row r="327" spans="1:33" ht="12.75">
      <c r="A327" s="166" t="s">
        <v>429</v>
      </c>
      <c r="B327" s="580" t="s">
        <v>499</v>
      </c>
      <c r="C327" s="580" t="s">
        <v>500</v>
      </c>
      <c r="D327" s="582">
        <v>1999</v>
      </c>
      <c r="E327" s="583">
        <v>2000</v>
      </c>
      <c r="F327" s="583">
        <v>2001</v>
      </c>
      <c r="G327" s="583">
        <v>2002</v>
      </c>
      <c r="H327" s="583">
        <v>2003</v>
      </c>
      <c r="I327" s="583">
        <v>2004</v>
      </c>
      <c r="J327" s="583">
        <v>2005</v>
      </c>
      <c r="K327" s="583">
        <v>2006</v>
      </c>
      <c r="L327" s="583">
        <v>2007</v>
      </c>
      <c r="M327" s="583">
        <v>2008</v>
      </c>
      <c r="N327" s="583">
        <v>2009</v>
      </c>
      <c r="O327" s="584">
        <v>2010</v>
      </c>
      <c r="P327" s="171">
        <v>2011</v>
      </c>
      <c r="Q327" s="171">
        <v>2012</v>
      </c>
      <c r="R327" s="171">
        <v>2013</v>
      </c>
      <c r="S327" s="171">
        <v>2014</v>
      </c>
      <c r="T327" s="171">
        <v>2015</v>
      </c>
      <c r="U327" s="171">
        <v>2016</v>
      </c>
      <c r="V327" s="171">
        <v>2017</v>
      </c>
      <c r="W327" s="171">
        <v>2018</v>
      </c>
      <c r="X327" s="171">
        <v>2019</v>
      </c>
      <c r="Y327"/>
      <c r="Z327"/>
      <c r="AA327"/>
      <c r="AB327"/>
      <c r="AC327"/>
      <c r="AD327"/>
      <c r="AE327"/>
      <c r="AF327"/>
      <c r="AG327"/>
    </row>
    <row r="328" spans="1:33" ht="12.75">
      <c r="A328" s="166" t="s">
        <v>430</v>
      </c>
      <c r="B328" s="581">
        <f>NPV(0.1,D328:Y328)</f>
        <v>403682.57190251345</v>
      </c>
      <c r="C328" s="581">
        <f>B328-B318</f>
        <v>-2135.2796714667929</v>
      </c>
      <c r="D328" s="585">
        <v>29055.459309999998</v>
      </c>
      <c r="E328" s="586">
        <v>39718.101310000005</v>
      </c>
      <c r="F328" s="586">
        <v>39774.382570000002</v>
      </c>
      <c r="G328" s="586">
        <v>39832.352267800001</v>
      </c>
      <c r="H328" s="586">
        <v>44994.223838698206</v>
      </c>
      <c r="I328" s="586">
        <v>50316.619113825618</v>
      </c>
      <c r="J328" s="586">
        <v>50519.942261786848</v>
      </c>
      <c r="K328" s="586">
        <v>51299.15433447242</v>
      </c>
      <c r="L328" s="586">
        <v>52094.614636862512</v>
      </c>
      <c r="M328" s="586">
        <v>52906.596771873978</v>
      </c>
      <c r="N328" s="586">
        <v>53735.376135191953</v>
      </c>
      <c r="O328" s="587">
        <v>54581.22977659334</v>
      </c>
      <c r="P328" s="167">
        <v>55168.98761208111</v>
      </c>
      <c r="Q328" s="167">
        <v>55757.851264278215</v>
      </c>
      <c r="R328" s="167">
        <v>56347.358100135265</v>
      </c>
      <c r="S328" s="167">
        <v>56937.016733384895</v>
      </c>
      <c r="T328" s="167">
        <v>57526.305715718365</v>
      </c>
      <c r="U328" s="167">
        <v>57955.011942166042</v>
      </c>
      <c r="V328" s="167">
        <v>58372.630320435419</v>
      </c>
      <c r="W328" s="167">
        <v>58778.109744032015</v>
      </c>
      <c r="X328" s="167">
        <v>43010.244789135024</v>
      </c>
      <c r="Y328"/>
      <c r="Z328"/>
      <c r="AA328"/>
      <c r="AB328"/>
      <c r="AC328"/>
      <c r="AD328"/>
      <c r="AE328"/>
      <c r="AF328"/>
      <c r="AG328"/>
    </row>
    <row r="329" spans="1:33" ht="12.75">
      <c r="A329" s="168" t="s">
        <v>431</v>
      </c>
      <c r="B329" s="581">
        <f>NPV(0.1,D329:Y329)</f>
        <v>186153.15800545498</v>
      </c>
      <c r="C329" s="581">
        <f>B329-B319</f>
        <v>-124.04430228078854</v>
      </c>
      <c r="D329" s="585">
        <v>19737.543414187734</v>
      </c>
      <c r="E329" s="586">
        <v>21242.634517024679</v>
      </c>
      <c r="F329" s="586">
        <v>21325.208288709015</v>
      </c>
      <c r="G329" s="586">
        <v>21410.797793808757</v>
      </c>
      <c r="H329" s="586">
        <v>21494.736194699351</v>
      </c>
      <c r="I329" s="586">
        <v>21588.585533901791</v>
      </c>
      <c r="J329" s="586">
        <v>21688.207368879961</v>
      </c>
      <c r="K329" s="586">
        <v>21786.157461729883</v>
      </c>
      <c r="L329" s="586">
        <v>21888.010669000872</v>
      </c>
      <c r="M329" s="586">
        <v>21993.855477618352</v>
      </c>
      <c r="N329" s="586">
        <v>22098.40684183289</v>
      </c>
      <c r="O329" s="587">
        <v>22989.603396884304</v>
      </c>
      <c r="P329" s="167">
        <v>23043.014126907976</v>
      </c>
      <c r="Q329" s="167">
        <v>23084.61900717656</v>
      </c>
      <c r="R329" s="167">
        <v>23130.88167562243</v>
      </c>
      <c r="S329" s="167">
        <v>23186.199756523187</v>
      </c>
      <c r="T329" s="167">
        <v>23218.116338312353</v>
      </c>
      <c r="U329" s="167">
        <v>23238.807011539207</v>
      </c>
      <c r="V329" s="167">
        <v>23264.724205864728</v>
      </c>
      <c r="W329" s="167">
        <v>23393.825922268523</v>
      </c>
      <c r="X329" s="167">
        <v>7091.2678097570579</v>
      </c>
      <c r="Y329"/>
      <c r="Z329"/>
      <c r="AA329"/>
      <c r="AB329"/>
      <c r="AC329"/>
      <c r="AD329"/>
      <c r="AE329"/>
      <c r="AF329"/>
      <c r="AG329"/>
    </row>
    <row r="330" spans="1:33" ht="12.75">
      <c r="A330" s="168" t="s">
        <v>34</v>
      </c>
      <c r="B330" s="581">
        <f>NPV(0.1,D330:Y330)</f>
        <v>86330.425526375708</v>
      </c>
      <c r="C330" s="581">
        <f>B330-B320</f>
        <v>-615.02170578204095</v>
      </c>
      <c r="D330" s="585">
        <v>1875.1787150912814</v>
      </c>
      <c r="E330" s="586">
        <v>3758.4305550525187</v>
      </c>
      <c r="F330" s="586">
        <v>3961.9443953441537</v>
      </c>
      <c r="G330" s="586">
        <v>4180.835856752934</v>
      </c>
      <c r="H330" s="586">
        <v>7478.3345270197715</v>
      </c>
      <c r="I330" s="586">
        <v>10995.674071865647</v>
      </c>
      <c r="J330" s="586">
        <v>11422.520109302983</v>
      </c>
      <c r="K330" s="586">
        <v>12112.836436696465</v>
      </c>
      <c r="L330" s="586">
        <v>12845.483183472668</v>
      </c>
      <c r="M330" s="586">
        <v>13623.5889888453</v>
      </c>
      <c r="N330" s="586">
        <v>14453.887936272436</v>
      </c>
      <c r="O330" s="587">
        <v>14847.547306702792</v>
      </c>
      <c r="P330" s="167">
        <v>15636.504459115351</v>
      </c>
      <c r="Q330" s="167">
        <v>16480.482792144638</v>
      </c>
      <c r="R330" s="167">
        <v>17372.910703506561</v>
      </c>
      <c r="S330" s="167">
        <v>18343.208524302259</v>
      </c>
      <c r="T330" s="167">
        <v>18720.167793855071</v>
      </c>
      <c r="U330" s="167">
        <v>18975.266768020345</v>
      </c>
      <c r="V330" s="167">
        <v>19220.165692619248</v>
      </c>
      <c r="W330" s="167">
        <v>19392.962217238193</v>
      </c>
      <c r="X330" s="167">
        <v>19727.262404875466</v>
      </c>
      <c r="Y330"/>
      <c r="Z330"/>
      <c r="AA330"/>
      <c r="AB330"/>
      <c r="AC330"/>
      <c r="AD330"/>
      <c r="AE330"/>
      <c r="AF330"/>
      <c r="AG330"/>
    </row>
    <row r="331" spans="1:33" ht="12.75">
      <c r="A331" s="168" t="s">
        <v>31</v>
      </c>
      <c r="B331" s="581">
        <f>NPV(0.1,D331:Y331)</f>
        <v>95954.222102443324</v>
      </c>
      <c r="C331" s="581">
        <f>B331-B321</f>
        <v>-452.83790973776195</v>
      </c>
      <c r="D331" s="588">
        <v>3222.4459139684072</v>
      </c>
      <c r="E331" s="589">
        <v>6928.6870322263258</v>
      </c>
      <c r="F331" s="589">
        <v>6369.4454032631857</v>
      </c>
      <c r="G331" s="589">
        <v>6359.8935532386895</v>
      </c>
      <c r="H331" s="589">
        <v>14382.542146266018</v>
      </c>
      <c r="I331" s="589">
        <v>13058.39154148267</v>
      </c>
      <c r="J331" s="589">
        <v>12207.712976015298</v>
      </c>
      <c r="K331" s="589">
        <v>12197.570820439829</v>
      </c>
      <c r="L331" s="589">
        <v>12162.94269837307</v>
      </c>
      <c r="M331" s="589">
        <v>12119.103993277438</v>
      </c>
      <c r="N331" s="589">
        <v>12037.295142081344</v>
      </c>
      <c r="O331" s="590">
        <v>12555.684243957203</v>
      </c>
      <c r="P331" s="167">
        <v>11544.341078107127</v>
      </c>
      <c r="Q331" s="167">
        <v>11346.044574384703</v>
      </c>
      <c r="R331" s="167">
        <v>11120.34540127654</v>
      </c>
      <c r="S331" s="167">
        <v>22684.079792210236</v>
      </c>
      <c r="T331" s="167">
        <v>21319.394849105709</v>
      </c>
      <c r="U331" s="167">
        <v>21558.152769746055</v>
      </c>
      <c r="V331" s="167">
        <v>21803.051694344969</v>
      </c>
      <c r="W331" s="167">
        <v>22073.89454011343</v>
      </c>
      <c r="X331" s="167">
        <v>22130.396817827066</v>
      </c>
      <c r="Y331"/>
      <c r="Z331"/>
      <c r="AA331"/>
      <c r="AB331"/>
      <c r="AC331"/>
      <c r="AD331"/>
      <c r="AE331"/>
      <c r="AF331"/>
      <c r="AG331"/>
    </row>
    <row r="332" spans="1:33" ht="12.75">
      <c r="A332" s="163"/>
      <c r="B332" s="163"/>
      <c r="C332" s="163"/>
      <c r="D332"/>
      <c r="E332"/>
      <c r="F332"/>
      <c r="G332"/>
      <c r="H332"/>
      <c r="I332"/>
      <c r="J332"/>
      <c r="K332"/>
      <c r="L332"/>
      <c r="M332"/>
      <c r="N332"/>
      <c r="O332"/>
      <c r="P332"/>
      <c r="Q332"/>
      <c r="R332"/>
      <c r="S332"/>
      <c r="T332"/>
      <c r="U332"/>
      <c r="V332"/>
      <c r="W332"/>
      <c r="X332"/>
      <c r="Y332"/>
      <c r="Z332"/>
      <c r="AA332"/>
      <c r="AB332"/>
      <c r="AC332"/>
      <c r="AD332"/>
      <c r="AE332"/>
      <c r="AF332"/>
      <c r="AG332"/>
    </row>
    <row r="333" spans="1:33" ht="12.75">
      <c r="A333" s="169" t="s">
        <v>638</v>
      </c>
      <c r="B333" s="163"/>
      <c r="C333" s="163"/>
      <c r="D333"/>
      <c r="E333"/>
      <c r="F333"/>
      <c r="G333"/>
      <c r="H333"/>
      <c r="I333"/>
      <c r="J333"/>
      <c r="K333"/>
      <c r="L333"/>
      <c r="M333"/>
      <c r="N333"/>
      <c r="O333"/>
      <c r="P333"/>
      <c r="Q333"/>
      <c r="R333"/>
      <c r="S333"/>
      <c r="T333"/>
      <c r="U333"/>
      <c r="V333"/>
      <c r="W333"/>
      <c r="X333"/>
      <c r="Y333"/>
      <c r="Z333"/>
      <c r="AA333"/>
      <c r="AB333"/>
      <c r="AC333"/>
      <c r="AD333"/>
      <c r="AE333"/>
      <c r="AF333"/>
      <c r="AG333"/>
    </row>
    <row r="334" spans="1:33" ht="12.75">
      <c r="A334" s="416">
        <v>36284</v>
      </c>
      <c r="B334" s="163"/>
      <c r="C334" s="163"/>
      <c r="D334"/>
      <c r="E334"/>
      <c r="F334"/>
      <c r="G334"/>
      <c r="H334"/>
      <c r="I334"/>
      <c r="J334"/>
      <c r="K334"/>
      <c r="L334"/>
      <c r="M334"/>
      <c r="N334"/>
      <c r="O334"/>
      <c r="P334"/>
      <c r="Q334"/>
      <c r="R334"/>
      <c r="S334"/>
      <c r="T334"/>
      <c r="U334"/>
      <c r="V334"/>
      <c r="W334"/>
      <c r="X334"/>
      <c r="Y334"/>
      <c r="Z334"/>
      <c r="AA334"/>
      <c r="AB334"/>
      <c r="AC334"/>
      <c r="AD334"/>
      <c r="AE334"/>
      <c r="AF334"/>
      <c r="AG334"/>
    </row>
    <row r="335" spans="1:33" ht="12.75">
      <c r="A335" s="164" t="s">
        <v>427</v>
      </c>
      <c r="B335" s="172">
        <v>33234.515108194923</v>
      </c>
      <c r="C335" s="163"/>
      <c r="D335"/>
      <c r="E335"/>
      <c r="F335"/>
      <c r="G335"/>
      <c r="H335"/>
      <c r="I335"/>
      <c r="J335"/>
      <c r="K335"/>
      <c r="L335"/>
      <c r="M335"/>
      <c r="N335"/>
      <c r="O335"/>
      <c r="P335"/>
      <c r="Q335"/>
      <c r="R335"/>
      <c r="S335"/>
      <c r="T335"/>
      <c r="U335"/>
      <c r="V335"/>
      <c r="W335"/>
      <c r="X335"/>
      <c r="Y335"/>
      <c r="Z335"/>
      <c r="AA335"/>
      <c r="AB335"/>
      <c r="AC335"/>
      <c r="AD335"/>
      <c r="AE335"/>
      <c r="AF335"/>
      <c r="AG335"/>
    </row>
    <row r="336" spans="1:33" ht="12.75">
      <c r="A336" s="165" t="s">
        <v>428</v>
      </c>
      <c r="B336" s="173">
        <v>64774.602108782761</v>
      </c>
      <c r="C336" s="163"/>
      <c r="D336"/>
      <c r="E336"/>
      <c r="F336"/>
      <c r="G336"/>
      <c r="H336"/>
      <c r="I336"/>
      <c r="J336"/>
      <c r="K336"/>
      <c r="L336"/>
      <c r="M336"/>
      <c r="N336"/>
      <c r="O336"/>
      <c r="P336"/>
      <c r="Q336"/>
      <c r="R336"/>
      <c r="S336"/>
      <c r="T336"/>
      <c r="U336"/>
      <c r="V336"/>
      <c r="W336"/>
      <c r="X336"/>
      <c r="Y336"/>
      <c r="Z336"/>
      <c r="AA336"/>
      <c r="AB336"/>
      <c r="AC336"/>
      <c r="AD336"/>
      <c r="AE336"/>
      <c r="AF336"/>
      <c r="AG336"/>
    </row>
    <row r="337" spans="1:33" ht="12.75">
      <c r="A337" s="166" t="s">
        <v>429</v>
      </c>
      <c r="B337" s="580" t="s">
        <v>499</v>
      </c>
      <c r="C337" s="580" t="s">
        <v>500</v>
      </c>
      <c r="D337" s="582">
        <v>1999</v>
      </c>
      <c r="E337" s="583">
        <v>2000</v>
      </c>
      <c r="F337" s="583">
        <v>2001</v>
      </c>
      <c r="G337" s="583">
        <v>2002</v>
      </c>
      <c r="H337" s="583">
        <v>2003</v>
      </c>
      <c r="I337" s="583">
        <v>2004</v>
      </c>
      <c r="J337" s="583">
        <v>2005</v>
      </c>
      <c r="K337" s="583">
        <v>2006</v>
      </c>
      <c r="L337" s="583">
        <v>2007</v>
      </c>
      <c r="M337" s="583">
        <v>2008</v>
      </c>
      <c r="N337" s="583">
        <v>2009</v>
      </c>
      <c r="O337" s="584">
        <v>2010</v>
      </c>
      <c r="P337" s="171">
        <v>2011</v>
      </c>
      <c r="Q337" s="171">
        <v>2012</v>
      </c>
      <c r="R337" s="171">
        <v>2013</v>
      </c>
      <c r="S337" s="171">
        <v>2014</v>
      </c>
      <c r="T337" s="171">
        <v>2015</v>
      </c>
      <c r="U337" s="171">
        <v>2016</v>
      </c>
      <c r="V337" s="171">
        <v>2017</v>
      </c>
      <c r="W337" s="171">
        <v>2018</v>
      </c>
      <c r="X337" s="171">
        <v>2019</v>
      </c>
      <c r="Y337"/>
      <c r="Z337"/>
      <c r="AA337"/>
      <c r="AB337"/>
      <c r="AC337"/>
      <c r="AD337"/>
      <c r="AE337"/>
      <c r="AF337"/>
      <c r="AG337"/>
    </row>
    <row r="338" spans="1:33" ht="12.75">
      <c r="A338" s="166" t="s">
        <v>430</v>
      </c>
      <c r="B338" s="581">
        <f>NPV(0.1,D338:Y338)</f>
        <v>398453.04027964192</v>
      </c>
      <c r="C338" s="581">
        <f>B338-B328</f>
        <v>-5229.5316228715237</v>
      </c>
      <c r="D338" s="585">
        <v>29055.459309999998</v>
      </c>
      <c r="E338" s="586">
        <v>39718.101310000005</v>
      </c>
      <c r="F338" s="586">
        <v>39774.382570000002</v>
      </c>
      <c r="G338" s="586">
        <v>39832.352267800001</v>
      </c>
      <c r="H338" s="586">
        <v>44564.127446382787</v>
      </c>
      <c r="I338" s="586">
        <v>49350.889599608534</v>
      </c>
      <c r="J338" s="586">
        <v>49551.084795804316</v>
      </c>
      <c r="K338" s="586">
        <v>50315.679293565772</v>
      </c>
      <c r="L338" s="586">
        <v>51096.226056433545</v>
      </c>
      <c r="M338" s="586">
        <v>51892.994085266044</v>
      </c>
      <c r="N338" s="586">
        <v>52706.254163934536</v>
      </c>
      <c r="O338" s="587">
        <v>53536.278724203286</v>
      </c>
      <c r="P338" s="167">
        <v>54113.402034427556</v>
      </c>
      <c r="Q338" s="167">
        <v>54691.642663970364</v>
      </c>
      <c r="R338" s="167">
        <v>55270.548241011602</v>
      </c>
      <c r="S338" s="167">
        <v>55849.638245834612</v>
      </c>
      <c r="T338" s="167">
        <v>56428.402729086934</v>
      </c>
      <c r="U338" s="167">
        <v>56849.833949988148</v>
      </c>
      <c r="V338" s="167">
        <v>57260.438053244099</v>
      </c>
      <c r="W338" s="167">
        <v>57659.186123697291</v>
      </c>
      <c r="X338" s="167">
        <v>42208.098050286615</v>
      </c>
      <c r="Y338"/>
      <c r="Z338"/>
      <c r="AA338"/>
      <c r="AB338"/>
      <c r="AC338"/>
      <c r="AD338"/>
      <c r="AE338"/>
      <c r="AF338"/>
      <c r="AG338"/>
    </row>
    <row r="339" spans="1:33" ht="12.75">
      <c r="A339" s="168" t="s">
        <v>431</v>
      </c>
      <c r="B339" s="581">
        <f>NPV(0.1,D339:Y339)</f>
        <v>184525.57433819244</v>
      </c>
      <c r="C339" s="581">
        <f>B339-B329</f>
        <v>-1627.5836672625446</v>
      </c>
      <c r="D339" s="585">
        <v>19737.491743603212</v>
      </c>
      <c r="E339" s="586">
        <v>21242.475448169382</v>
      </c>
      <c r="F339" s="586">
        <v>21324.933390147125</v>
      </c>
      <c r="G339" s="586">
        <v>21410.397974835196</v>
      </c>
      <c r="H339" s="586">
        <v>21332.856518123823</v>
      </c>
      <c r="I339" s="586">
        <v>21265.383509301788</v>
      </c>
      <c r="J339" s="586">
        <v>21365.005344279958</v>
      </c>
      <c r="K339" s="586">
        <v>21462.95543712988</v>
      </c>
      <c r="L339" s="586">
        <v>21564.80864440087</v>
      </c>
      <c r="M339" s="586">
        <v>21670.653453018349</v>
      </c>
      <c r="N339" s="586">
        <v>21775.204817232887</v>
      </c>
      <c r="O339" s="587">
        <v>22666.401372284301</v>
      </c>
      <c r="P339" s="167">
        <v>22719.812102307973</v>
      </c>
      <c r="Q339" s="167">
        <v>22761.416982576557</v>
      </c>
      <c r="R339" s="167">
        <v>22807.679651022427</v>
      </c>
      <c r="S339" s="167">
        <v>22862.997731923184</v>
      </c>
      <c r="T339" s="167">
        <v>22894.91431371235</v>
      </c>
      <c r="U339" s="167">
        <v>22915.604986939205</v>
      </c>
      <c r="V339" s="167">
        <v>22941.522181264725</v>
      </c>
      <c r="W339" s="167">
        <v>23070.62389766852</v>
      </c>
      <c r="X339" s="167">
        <v>7091.2678097570579</v>
      </c>
      <c r="Y339"/>
      <c r="Z339"/>
      <c r="AA339"/>
      <c r="AB339"/>
      <c r="AC339"/>
      <c r="AD339"/>
      <c r="AE339"/>
      <c r="AF339"/>
      <c r="AG339"/>
    </row>
    <row r="340" spans="1:33" ht="12.75">
      <c r="A340" s="168" t="s">
        <v>34</v>
      </c>
      <c r="B340" s="581">
        <f>NPV(0.1,D340:Y340)</f>
        <v>84578.748453997323</v>
      </c>
      <c r="C340" s="581">
        <f>B340-B330</f>
        <v>-1751.6770723783848</v>
      </c>
      <c r="D340" s="585">
        <v>1908.5450794759497</v>
      </c>
      <c r="E340" s="586">
        <v>3827.7831638930315</v>
      </c>
      <c r="F340" s="586">
        <v>4036.7416176390525</v>
      </c>
      <c r="G340" s="586">
        <v>4261.5034167093745</v>
      </c>
      <c r="H340" s="586">
        <v>7400.0986828015994</v>
      </c>
      <c r="I340" s="586">
        <v>10685.268813231494</v>
      </c>
      <c r="J340" s="586">
        <v>11104.76805140233</v>
      </c>
      <c r="K340" s="586">
        <v>11780.060951759304</v>
      </c>
      <c r="L340" s="586">
        <v>12496.739645993212</v>
      </c>
      <c r="M340" s="586">
        <v>13257.863281132903</v>
      </c>
      <c r="N340" s="586">
        <v>14070.091022224309</v>
      </c>
      <c r="O340" s="587">
        <v>14444.509373997404</v>
      </c>
      <c r="P340" s="167">
        <v>15216.4129084098</v>
      </c>
      <c r="Q340" s="167">
        <v>16042.302299794019</v>
      </c>
      <c r="R340" s="167">
        <v>16915.52918744713</v>
      </c>
      <c r="S340" s="167">
        <v>17865.431071357063</v>
      </c>
      <c r="T340" s="167">
        <v>18235.810226749978</v>
      </c>
      <c r="U340" s="167">
        <v>18486.360731041255</v>
      </c>
      <c r="V340" s="167">
        <v>18726.874199384107</v>
      </c>
      <c r="W340" s="167">
        <v>18895.462155804926</v>
      </c>
      <c r="X340" s="167">
        <v>19225.745223496087</v>
      </c>
      <c r="Y340"/>
      <c r="Z340"/>
      <c r="AA340"/>
      <c r="AB340"/>
      <c r="AC340"/>
      <c r="AD340"/>
      <c r="AE340"/>
      <c r="AF340"/>
      <c r="AG340"/>
    </row>
    <row r="341" spans="1:33" ht="12.75">
      <c r="A341" s="168" t="s">
        <v>31</v>
      </c>
      <c r="B341" s="581">
        <f>NPV(0.1,D341:Y341)</f>
        <v>94536.760562544645</v>
      </c>
      <c r="C341" s="581">
        <f>B341-B331</f>
        <v>-1417.4615398986789</v>
      </c>
      <c r="D341" s="588">
        <v>3222.4637833788888</v>
      </c>
      <c r="E341" s="589">
        <v>6928.7420435387812</v>
      </c>
      <c r="F341" s="589">
        <v>6369.5404723491729</v>
      </c>
      <c r="G341" s="589">
        <v>6360.0318239670478</v>
      </c>
      <c r="H341" s="589">
        <v>14218.259407875332</v>
      </c>
      <c r="I341" s="589">
        <v>12745.653066029445</v>
      </c>
      <c r="J341" s="589">
        <v>12009.07519168591</v>
      </c>
      <c r="K341" s="589">
        <v>11999.285780929276</v>
      </c>
      <c r="L341" s="589">
        <v>11965.414257763281</v>
      </c>
      <c r="M341" s="589">
        <v>11922.77623265586</v>
      </c>
      <c r="N341" s="589">
        <v>11842.655724751101</v>
      </c>
      <c r="O341" s="590">
        <v>12363.268040160187</v>
      </c>
      <c r="P341" s="167">
        <v>11355.974804728021</v>
      </c>
      <c r="Q341" s="167">
        <v>11162.376590608354</v>
      </c>
      <c r="R341" s="167">
        <v>10942.07789800365</v>
      </c>
      <c r="S341" s="167">
        <v>22206.302339265036</v>
      </c>
      <c r="T341" s="167">
        <v>20835.037282000616</v>
      </c>
      <c r="U341" s="167">
        <v>21069.246732766969</v>
      </c>
      <c r="V341" s="167">
        <v>21309.760201109828</v>
      </c>
      <c r="W341" s="167">
        <v>21576.394478680166</v>
      </c>
      <c r="X341" s="167">
        <v>21628.879636447684</v>
      </c>
      <c r="Y341"/>
      <c r="Z341"/>
      <c r="AA341"/>
      <c r="AB341"/>
      <c r="AC341"/>
      <c r="AD341"/>
      <c r="AE341"/>
      <c r="AF341"/>
      <c r="AG341"/>
    </row>
    <row r="342" spans="1:33" ht="12.75">
      <c r="A342" s="163"/>
      <c r="B342" s="163"/>
      <c r="C342" s="163"/>
      <c r="D342"/>
      <c r="E342"/>
      <c r="F342"/>
      <c r="G342"/>
      <c r="H342"/>
      <c r="I342"/>
      <c r="J342"/>
      <c r="K342"/>
      <c r="L342"/>
      <c r="M342"/>
      <c r="N342"/>
      <c r="O342"/>
      <c r="P342"/>
      <c r="Q342"/>
      <c r="R342"/>
      <c r="S342"/>
      <c r="T342"/>
      <c r="U342"/>
      <c r="V342"/>
      <c r="W342"/>
      <c r="X342"/>
      <c r="Y342"/>
      <c r="Z342"/>
      <c r="AA342"/>
      <c r="AB342"/>
      <c r="AC342"/>
      <c r="AD342"/>
      <c r="AE342"/>
      <c r="AF342"/>
      <c r="AG342"/>
    </row>
    <row r="343" spans="1:33" ht="12.75">
      <c r="A343" s="169" t="s">
        <v>642</v>
      </c>
      <c r="B343" s="163"/>
      <c r="C343" s="163"/>
      <c r="D343"/>
      <c r="E343"/>
      <c r="F343"/>
      <c r="G343"/>
      <c r="H343"/>
      <c r="I343"/>
      <c r="J343"/>
      <c r="K343"/>
      <c r="L343"/>
      <c r="M343"/>
      <c r="N343"/>
      <c r="O343"/>
      <c r="P343"/>
      <c r="Q343"/>
      <c r="R343"/>
      <c r="S343"/>
      <c r="T343"/>
      <c r="U343"/>
      <c r="V343"/>
      <c r="W343"/>
      <c r="X343"/>
      <c r="Y343"/>
      <c r="Z343"/>
      <c r="AA343"/>
      <c r="AB343"/>
      <c r="AC343"/>
      <c r="AD343"/>
      <c r="AE343"/>
      <c r="AF343"/>
      <c r="AG343"/>
    </row>
    <row r="344" spans="1:33" ht="12.75">
      <c r="A344" s="416">
        <v>36284</v>
      </c>
      <c r="B344" s="163"/>
      <c r="C344" s="163"/>
      <c r="D344"/>
      <c r="E344"/>
      <c r="F344"/>
      <c r="G344"/>
      <c r="H344"/>
      <c r="I344"/>
      <c r="J344"/>
      <c r="K344"/>
      <c r="L344"/>
      <c r="M344"/>
      <c r="N344"/>
      <c r="O344"/>
      <c r="P344"/>
      <c r="Q344"/>
      <c r="R344"/>
      <c r="S344"/>
      <c r="T344"/>
      <c r="U344"/>
      <c r="V344"/>
      <c r="W344"/>
      <c r="X344"/>
      <c r="Y344"/>
      <c r="Z344"/>
      <c r="AA344"/>
      <c r="AB344"/>
      <c r="AC344"/>
      <c r="AD344"/>
      <c r="AE344"/>
      <c r="AF344"/>
      <c r="AG344"/>
    </row>
    <row r="345" spans="1:33" ht="12.75">
      <c r="A345" s="164" t="s">
        <v>427</v>
      </c>
      <c r="B345" s="172">
        <v>31400.148546579581</v>
      </c>
      <c r="C345" s="163"/>
      <c r="D345"/>
      <c r="E345"/>
      <c r="F345"/>
      <c r="G345"/>
      <c r="H345"/>
      <c r="I345"/>
      <c r="J345"/>
      <c r="K345"/>
      <c r="L345"/>
      <c r="M345"/>
      <c r="N345"/>
      <c r="O345"/>
      <c r="P345"/>
      <c r="Q345"/>
      <c r="R345"/>
      <c r="S345"/>
      <c r="T345"/>
      <c r="U345"/>
      <c r="V345"/>
      <c r="W345"/>
      <c r="X345"/>
      <c r="Y345"/>
      <c r="Z345"/>
      <c r="AA345"/>
      <c r="AB345"/>
      <c r="AC345"/>
      <c r="AD345"/>
      <c r="AE345"/>
      <c r="AF345"/>
      <c r="AG345"/>
    </row>
    <row r="346" spans="1:33" ht="12.75">
      <c r="A346" s="165" t="s">
        <v>428</v>
      </c>
      <c r="B346" s="173">
        <v>62270.553300790751</v>
      </c>
      <c r="C346" s="163"/>
      <c r="D346"/>
      <c r="E346"/>
      <c r="F346"/>
      <c r="G346"/>
      <c r="H346"/>
      <c r="I346"/>
      <c r="J346"/>
      <c r="K346"/>
      <c r="L346"/>
      <c r="M346"/>
      <c r="N346"/>
      <c r="O346"/>
      <c r="P346"/>
      <c r="Q346"/>
      <c r="R346"/>
      <c r="S346"/>
      <c r="T346"/>
      <c r="U346"/>
      <c r="V346"/>
      <c r="W346"/>
      <c r="X346"/>
      <c r="Y346"/>
      <c r="Z346"/>
      <c r="AA346"/>
      <c r="AB346"/>
      <c r="AC346"/>
      <c r="AD346"/>
      <c r="AE346"/>
      <c r="AF346"/>
      <c r="AG346"/>
    </row>
    <row r="347" spans="1:33" ht="12.75">
      <c r="A347" s="166" t="s">
        <v>429</v>
      </c>
      <c r="B347" s="580" t="s">
        <v>499</v>
      </c>
      <c r="C347" s="580" t="s">
        <v>500</v>
      </c>
      <c r="D347" s="582">
        <v>1999</v>
      </c>
      <c r="E347" s="583">
        <v>2000</v>
      </c>
      <c r="F347" s="583">
        <v>2001</v>
      </c>
      <c r="G347" s="583">
        <v>2002</v>
      </c>
      <c r="H347" s="583">
        <v>2003</v>
      </c>
      <c r="I347" s="583">
        <v>2004</v>
      </c>
      <c r="J347" s="583">
        <v>2005</v>
      </c>
      <c r="K347" s="583">
        <v>2006</v>
      </c>
      <c r="L347" s="583">
        <v>2007</v>
      </c>
      <c r="M347" s="583">
        <v>2008</v>
      </c>
      <c r="N347" s="583">
        <v>2009</v>
      </c>
      <c r="O347" s="584">
        <v>2010</v>
      </c>
      <c r="P347" s="171">
        <v>2011</v>
      </c>
      <c r="Q347" s="171">
        <v>2012</v>
      </c>
      <c r="R347" s="171">
        <v>2013</v>
      </c>
      <c r="S347" s="171">
        <v>2014</v>
      </c>
      <c r="T347" s="171">
        <v>2015</v>
      </c>
      <c r="U347" s="171">
        <v>2016</v>
      </c>
      <c r="V347" s="171">
        <v>2017</v>
      </c>
      <c r="W347" s="171">
        <v>2018</v>
      </c>
      <c r="X347" s="171">
        <v>2019</v>
      </c>
      <c r="Y347"/>
      <c r="Z347"/>
      <c r="AA347"/>
      <c r="AB347"/>
      <c r="AC347"/>
      <c r="AD347"/>
      <c r="AE347"/>
      <c r="AF347"/>
      <c r="AG347"/>
    </row>
    <row r="348" spans="1:33" ht="12.75">
      <c r="A348" s="166" t="s">
        <v>430</v>
      </c>
      <c r="B348" s="581">
        <f>NPV(0.1,D348:Y348)</f>
        <v>398453.04027964192</v>
      </c>
      <c r="C348" s="581">
        <f>B348-B338</f>
        <v>0</v>
      </c>
      <c r="D348" s="585">
        <v>29055.459309999998</v>
      </c>
      <c r="E348" s="586">
        <v>39718.101310000005</v>
      </c>
      <c r="F348" s="586">
        <v>39774.382570000002</v>
      </c>
      <c r="G348" s="586">
        <v>39832.352267800001</v>
      </c>
      <c r="H348" s="586">
        <v>44564.127446382787</v>
      </c>
      <c r="I348" s="586">
        <v>49350.889599608534</v>
      </c>
      <c r="J348" s="586">
        <v>49551.084795804316</v>
      </c>
      <c r="K348" s="586">
        <v>50315.679293565772</v>
      </c>
      <c r="L348" s="586">
        <v>51096.226056433545</v>
      </c>
      <c r="M348" s="586">
        <v>51892.994085266044</v>
      </c>
      <c r="N348" s="586">
        <v>52706.254163934536</v>
      </c>
      <c r="O348" s="587">
        <v>53536.278724203286</v>
      </c>
      <c r="P348" s="167">
        <v>54113.402034427556</v>
      </c>
      <c r="Q348" s="167">
        <v>54691.642663970364</v>
      </c>
      <c r="R348" s="167">
        <v>55270.548241011602</v>
      </c>
      <c r="S348" s="167">
        <v>55849.638245834612</v>
      </c>
      <c r="T348" s="167">
        <v>56428.402729086934</v>
      </c>
      <c r="U348" s="167">
        <v>56849.833949988148</v>
      </c>
      <c r="V348" s="167">
        <v>57260.438053244099</v>
      </c>
      <c r="W348" s="167">
        <v>57659.186123697291</v>
      </c>
      <c r="X348" s="167">
        <v>42208.098050286615</v>
      </c>
      <c r="Y348"/>
      <c r="Z348"/>
      <c r="AA348"/>
      <c r="AB348"/>
      <c r="AC348"/>
      <c r="AD348"/>
      <c r="AE348"/>
      <c r="AF348"/>
      <c r="AG348"/>
    </row>
    <row r="349" spans="1:33" ht="12.75">
      <c r="A349" s="168" t="s">
        <v>431</v>
      </c>
      <c r="B349" s="581">
        <f>NPV(0.1,D349:Y349)</f>
        <v>187087.03906746139</v>
      </c>
      <c r="C349" s="581">
        <f>B349-B339</f>
        <v>2561.4647292689478</v>
      </c>
      <c r="D349" s="585">
        <v>19737.455926201652</v>
      </c>
      <c r="E349" s="586">
        <v>21242.365183632632</v>
      </c>
      <c r="F349" s="586">
        <v>21324.742833909557</v>
      </c>
      <c r="G349" s="586">
        <v>21410.120825333986</v>
      </c>
      <c r="H349" s="586">
        <v>21537.442085656625</v>
      </c>
      <c r="I349" s="586">
        <v>21687.190482041769</v>
      </c>
      <c r="J349" s="586">
        <v>21799.466526202137</v>
      </c>
      <c r="K349" s="586">
        <v>21910.450454509726</v>
      </c>
      <c r="L349" s="586">
        <v>22025.72851230211</v>
      </c>
      <c r="M349" s="586">
        <v>22145.400916956627</v>
      </c>
      <c r="N349" s="586">
        <v>22264.194705089314</v>
      </c>
      <c r="O349" s="587">
        <v>23170.060956776419</v>
      </c>
      <c r="P349" s="167">
        <v>23238.58147433486</v>
      </c>
      <c r="Q349" s="167">
        <v>23295.749435764246</v>
      </c>
      <c r="R349" s="167">
        <v>23358.042077805749</v>
      </c>
      <c r="S349" s="167">
        <v>23429.871031510003</v>
      </c>
      <c r="T349" s="167">
        <v>23478.793812286774</v>
      </c>
      <c r="U349" s="167">
        <v>23517.000870470863</v>
      </c>
      <c r="V349" s="167">
        <v>23560.959941302335</v>
      </c>
      <c r="W349" s="167">
        <v>23708.644790507256</v>
      </c>
      <c r="X349" s="167">
        <v>7748.4293293809569</v>
      </c>
      <c r="Y349"/>
      <c r="Z349"/>
      <c r="AA349"/>
      <c r="AB349"/>
      <c r="AC349"/>
      <c r="AD349"/>
      <c r="AE349"/>
      <c r="AF349"/>
      <c r="AG349"/>
    </row>
    <row r="350" spans="1:33" ht="12.75">
      <c r="A350" s="168" t="s">
        <v>34</v>
      </c>
      <c r="B350" s="581">
        <f>NPV(0.1,D350:Y350)</f>
        <v>83325.83523810003</v>
      </c>
      <c r="C350" s="581">
        <f>B350-B340</f>
        <v>-1252.9132158972934</v>
      </c>
      <c r="D350" s="585">
        <v>1931.6742250590112</v>
      </c>
      <c r="E350" s="586">
        <v>3875.8575230873575</v>
      </c>
      <c r="F350" s="586">
        <v>4088.590114638092</v>
      </c>
      <c r="G350" s="586">
        <v>4317.4211581975724</v>
      </c>
      <c r="H350" s="586">
        <v>7334.1993053402484</v>
      </c>
      <c r="I350" s="586">
        <v>10484.476837945984</v>
      </c>
      <c r="J350" s="586">
        <v>10892.763893724528</v>
      </c>
      <c r="K350" s="586">
        <v>11556.093172366735</v>
      </c>
      <c r="L350" s="586">
        <v>12260.001056475689</v>
      </c>
      <c r="M350" s="586">
        <v>13007.486615047217</v>
      </c>
      <c r="N350" s="586">
        <v>13805.144263762806</v>
      </c>
      <c r="O350" s="587">
        <v>14163.990716997352</v>
      </c>
      <c r="P350" s="167">
        <v>14919.24531625226</v>
      </c>
      <c r="Q350" s="167">
        <v>15727.327634388472</v>
      </c>
      <c r="R350" s="167">
        <v>16581.501872957469</v>
      </c>
      <c r="S350" s="167">
        <v>17511.011255581016</v>
      </c>
      <c r="T350" s="167">
        <v>17870.757816500653</v>
      </c>
      <c r="U350" s="167">
        <v>18110.356748484446</v>
      </c>
      <c r="V350" s="167">
        <v>18339.590097350589</v>
      </c>
      <c r="W350" s="167">
        <v>18496.559530710409</v>
      </c>
      <c r="X350" s="167">
        <v>18814.875519648733</v>
      </c>
      <c r="Y350"/>
      <c r="Z350"/>
      <c r="AA350"/>
      <c r="AB350"/>
      <c r="AC350"/>
      <c r="AD350"/>
      <c r="AE350"/>
      <c r="AF350"/>
      <c r="AG350"/>
    </row>
    <row r="351" spans="1:33" ht="12.75">
      <c r="A351" s="168" t="s">
        <v>31</v>
      </c>
      <c r="B351" s="581">
        <f>NPV(0.1,D351:Y351)</f>
        <v>93511.588645353913</v>
      </c>
      <c r="C351" s="581">
        <f>B351-B341</f>
        <v>-1025.1719171907316</v>
      </c>
      <c r="D351" s="588">
        <v>3222.4761702302612</v>
      </c>
      <c r="E351" s="589">
        <v>6928.7801766910752</v>
      </c>
      <c r="F351" s="589">
        <v>6369.6063730479982</v>
      </c>
      <c r="G351" s="589">
        <v>6360.1276715028825</v>
      </c>
      <c r="H351" s="589">
        <v>14092.95074776149</v>
      </c>
      <c r="I351" s="589">
        <v>12541.633972354888</v>
      </c>
      <c r="J351" s="589">
        <v>11874.290131218922</v>
      </c>
      <c r="K351" s="589">
        <v>11863.928160707448</v>
      </c>
      <c r="L351" s="589">
        <v>11829.744580358718</v>
      </c>
      <c r="M351" s="589">
        <v>11787.085030066986</v>
      </c>
      <c r="N351" s="589">
        <v>11707.266236433414</v>
      </c>
      <c r="O351" s="590">
        <v>12228.53911356973</v>
      </c>
      <c r="P351" s="167">
        <v>11222.304036426747</v>
      </c>
      <c r="Q351" s="167">
        <v>11030.203727431897</v>
      </c>
      <c r="R351" s="167">
        <v>10811.888519359663</v>
      </c>
      <c r="S351" s="167">
        <v>21851.882523488992</v>
      </c>
      <c r="T351" s="167">
        <v>20469.984871751294</v>
      </c>
      <c r="U351" s="167">
        <v>20693.24275021016</v>
      </c>
      <c r="V351" s="167">
        <v>20922.47609907631</v>
      </c>
      <c r="W351" s="167">
        <v>21177.491853585645</v>
      </c>
      <c r="X351" s="167">
        <v>21218.009932600329</v>
      </c>
      <c r="Y351"/>
      <c r="Z351"/>
      <c r="AA351"/>
      <c r="AB351"/>
      <c r="AC351"/>
      <c r="AD351"/>
      <c r="AE351"/>
      <c r="AF351"/>
      <c r="AG351"/>
    </row>
    <row r="352" spans="1:33" ht="12.75">
      <c r="A352" s="163"/>
      <c r="B352" s="163"/>
      <c r="C352" s="163"/>
      <c r="D352"/>
      <c r="E352"/>
      <c r="F352"/>
      <c r="G352"/>
      <c r="H352"/>
      <c r="I352"/>
      <c r="J352"/>
      <c r="K352"/>
      <c r="L352"/>
      <c r="M352"/>
      <c r="N352"/>
      <c r="O352"/>
      <c r="P352"/>
      <c r="Q352"/>
      <c r="R352"/>
      <c r="S352"/>
      <c r="T352"/>
      <c r="U352"/>
      <c r="V352"/>
      <c r="W352"/>
      <c r="X352"/>
      <c r="Y352"/>
      <c r="Z352"/>
      <c r="AA352"/>
      <c r="AB352"/>
      <c r="AC352"/>
      <c r="AD352"/>
      <c r="AE352"/>
      <c r="AF352"/>
      <c r="AG352"/>
    </row>
    <row r="353" spans="1:33" ht="12.75">
      <c r="A353" s="169" t="s">
        <v>647</v>
      </c>
      <c r="B353" s="163"/>
      <c r="C353" s="163"/>
      <c r="D353"/>
      <c r="E353"/>
      <c r="F353"/>
      <c r="G353"/>
      <c r="H353"/>
      <c r="I353"/>
      <c r="J353"/>
      <c r="K353"/>
      <c r="L353"/>
      <c r="M353"/>
      <c r="N353"/>
      <c r="O353"/>
      <c r="P353"/>
      <c r="Q353"/>
      <c r="R353"/>
      <c r="S353"/>
      <c r="T353"/>
      <c r="U353"/>
      <c r="V353"/>
      <c r="W353"/>
      <c r="X353"/>
      <c r="Y353"/>
      <c r="Z353"/>
      <c r="AA353"/>
      <c r="AB353"/>
      <c r="AC353"/>
      <c r="AD353"/>
      <c r="AE353"/>
      <c r="AF353"/>
      <c r="AG353"/>
    </row>
    <row r="354" spans="1:33" ht="12.75">
      <c r="A354" s="416">
        <v>36284</v>
      </c>
      <c r="B354" s="163"/>
      <c r="C354" s="163"/>
      <c r="D354"/>
      <c r="E354"/>
      <c r="F354"/>
      <c r="G354"/>
      <c r="H354"/>
      <c r="I354"/>
      <c r="J354"/>
      <c r="K354"/>
      <c r="L354"/>
      <c r="M354"/>
      <c r="N354"/>
      <c r="O354"/>
      <c r="P354"/>
      <c r="Q354"/>
      <c r="R354"/>
      <c r="S354"/>
      <c r="T354"/>
      <c r="U354"/>
      <c r="V354"/>
      <c r="W354"/>
      <c r="X354"/>
      <c r="Y354"/>
      <c r="Z354"/>
      <c r="AA354"/>
      <c r="AB354"/>
      <c r="AC354"/>
      <c r="AD354"/>
      <c r="AE354"/>
      <c r="AF354"/>
      <c r="AG354"/>
    </row>
    <row r="355" spans="1:33" ht="12.75">
      <c r="A355" s="164" t="s">
        <v>427</v>
      </c>
      <c r="B355" s="172">
        <v>27408.897924575787</v>
      </c>
      <c r="C355" s="163"/>
      <c r="D355"/>
      <c r="E355"/>
      <c r="F355"/>
      <c r="G355"/>
      <c r="H355"/>
      <c r="I355"/>
      <c r="J355"/>
      <c r="K355"/>
      <c r="L355"/>
      <c r="M355"/>
      <c r="N355"/>
      <c r="O355"/>
      <c r="P355"/>
      <c r="Q355"/>
      <c r="R355"/>
      <c r="S355"/>
      <c r="T355"/>
      <c r="U355"/>
      <c r="V355"/>
      <c r="W355"/>
      <c r="X355"/>
      <c r="Y355"/>
      <c r="Z355"/>
      <c r="AA355"/>
      <c r="AB355"/>
      <c r="AC355"/>
      <c r="AD355"/>
      <c r="AE355"/>
      <c r="AF355"/>
      <c r="AG355"/>
    </row>
    <row r="356" spans="1:33" ht="12.75">
      <c r="A356" s="165" t="s">
        <v>428</v>
      </c>
      <c r="B356" s="173">
        <v>56805.325069727689</v>
      </c>
      <c r="C356" s="163"/>
      <c r="D356"/>
      <c r="E356"/>
      <c r="F356"/>
      <c r="G356"/>
      <c r="H356"/>
      <c r="I356"/>
      <c r="J356"/>
      <c r="K356"/>
      <c r="L356"/>
      <c r="M356"/>
      <c r="N356"/>
      <c r="O356"/>
      <c r="P356"/>
      <c r="Q356"/>
      <c r="R356"/>
      <c r="S356"/>
      <c r="T356"/>
      <c r="U356"/>
      <c r="V356"/>
      <c r="W356"/>
      <c r="X356"/>
      <c r="Y356"/>
      <c r="Z356"/>
      <c r="AA356"/>
      <c r="AB356"/>
      <c r="AC356"/>
      <c r="AD356"/>
      <c r="AE356"/>
      <c r="AF356"/>
      <c r="AG356"/>
    </row>
    <row r="357" spans="1:33" ht="12.75">
      <c r="A357" s="166" t="s">
        <v>429</v>
      </c>
      <c r="B357" s="580" t="s">
        <v>499</v>
      </c>
      <c r="C357" s="580" t="s">
        <v>500</v>
      </c>
      <c r="D357" s="582">
        <v>1999</v>
      </c>
      <c r="E357" s="583">
        <v>2000</v>
      </c>
      <c r="F357" s="583">
        <v>2001</v>
      </c>
      <c r="G357" s="583">
        <v>2002</v>
      </c>
      <c r="H357" s="583">
        <v>2003</v>
      </c>
      <c r="I357" s="583">
        <v>2004</v>
      </c>
      <c r="J357" s="583">
        <v>2005</v>
      </c>
      <c r="K357" s="583">
        <v>2006</v>
      </c>
      <c r="L357" s="583">
        <v>2007</v>
      </c>
      <c r="M357" s="583">
        <v>2008</v>
      </c>
      <c r="N357" s="583">
        <v>2009</v>
      </c>
      <c r="O357" s="584">
        <v>2010</v>
      </c>
      <c r="P357" s="171">
        <v>2011</v>
      </c>
      <c r="Q357" s="171">
        <v>2012</v>
      </c>
      <c r="R357" s="171">
        <v>2013</v>
      </c>
      <c r="S357" s="171">
        <v>2014</v>
      </c>
      <c r="T357" s="171">
        <v>2015</v>
      </c>
      <c r="U357" s="171">
        <v>2016</v>
      </c>
      <c r="V357" s="171">
        <v>2017</v>
      </c>
      <c r="W357" s="171">
        <v>2018</v>
      </c>
      <c r="X357" s="171">
        <v>2019</v>
      </c>
      <c r="Y357"/>
      <c r="Z357"/>
      <c r="AA357"/>
      <c r="AB357"/>
      <c r="AC357"/>
      <c r="AD357"/>
      <c r="AE357"/>
      <c r="AF357"/>
      <c r="AG357"/>
    </row>
    <row r="358" spans="1:33" ht="12.75">
      <c r="A358" s="166" t="s">
        <v>430</v>
      </c>
      <c r="B358" s="581">
        <f>NPV(0.1,D358:Y358)</f>
        <v>391133.13466391561</v>
      </c>
      <c r="C358" s="581">
        <f>B358-B348</f>
        <v>-7319.9056157263112</v>
      </c>
      <c r="D358" s="585">
        <v>28857.4627525</v>
      </c>
      <c r="E358" s="586">
        <v>39520.104752500003</v>
      </c>
      <c r="F358" s="586">
        <v>39576.386012500006</v>
      </c>
      <c r="G358" s="586">
        <v>39634.355710300006</v>
      </c>
      <c r="H358" s="586">
        <v>43777.686642789944</v>
      </c>
      <c r="I358" s="586">
        <v>48203.926377651944</v>
      </c>
      <c r="J358" s="586">
        <v>48634.166183597059</v>
      </c>
      <c r="K358" s="586">
        <v>49061.331218814106</v>
      </c>
      <c r="L358" s="586">
        <v>50050.025333541533</v>
      </c>
      <c r="M358" s="586">
        <v>50486.249452834076</v>
      </c>
      <c r="N358" s="586">
        <v>51517.6911145821</v>
      </c>
      <c r="O358" s="587">
        <v>51962.493440436265</v>
      </c>
      <c r="P358" s="167">
        <v>53038.222421812359</v>
      </c>
      <c r="Q358" s="167">
        <v>53491.029907411496</v>
      </c>
      <c r="R358" s="167">
        <v>53937.76581662205</v>
      </c>
      <c r="S358" s="167">
        <v>54377.658328123682</v>
      </c>
      <c r="T358" s="167">
        <v>54809.894775735556</v>
      </c>
      <c r="U358" s="167">
        <v>55233.619892363946</v>
      </c>
      <c r="V358" s="167">
        <v>55647.933985346986</v>
      </c>
      <c r="W358" s="167">
        <v>56051.891040660994</v>
      </c>
      <c r="X358" s="167">
        <v>40607.597547962134</v>
      </c>
      <c r="Y358"/>
      <c r="Z358"/>
      <c r="AA358"/>
      <c r="AB358"/>
      <c r="AC358"/>
      <c r="AD358"/>
      <c r="AE358"/>
      <c r="AF358"/>
      <c r="AG358"/>
    </row>
    <row r="359" spans="1:33" ht="12.75">
      <c r="A359" s="168" t="s">
        <v>431</v>
      </c>
      <c r="B359" s="581">
        <f>NPV(0.1,D359:Y359)</f>
        <v>185373.50023855615</v>
      </c>
      <c r="C359" s="581">
        <f>B359-B349</f>
        <v>-1713.5388289052353</v>
      </c>
      <c r="D359" s="585">
        <v>19539.382265772714</v>
      </c>
      <c r="E359" s="586">
        <v>21044.131263332121</v>
      </c>
      <c r="F359" s="586">
        <v>21126.336072335453</v>
      </c>
      <c r="G359" s="586">
        <v>21211.527657321611</v>
      </c>
      <c r="H359" s="586">
        <v>21339.211704807258</v>
      </c>
      <c r="I359" s="586">
        <v>21489.193924541771</v>
      </c>
      <c r="J359" s="586">
        <v>21601.469968702138</v>
      </c>
      <c r="K359" s="586">
        <v>21712.453897009727</v>
      </c>
      <c r="L359" s="586">
        <v>21827.731954802108</v>
      </c>
      <c r="M359" s="586">
        <v>21947.404359456625</v>
      </c>
      <c r="N359" s="586">
        <v>22066.198147589315</v>
      </c>
      <c r="O359" s="587">
        <v>22972.064399276416</v>
      </c>
      <c r="P359" s="167">
        <v>23040.584916834861</v>
      </c>
      <c r="Q359" s="167">
        <v>23097.752878264248</v>
      </c>
      <c r="R359" s="167">
        <v>23160.045520305746</v>
      </c>
      <c r="S359" s="167">
        <v>23231.874474010005</v>
      </c>
      <c r="T359" s="167">
        <v>23280.797254786772</v>
      </c>
      <c r="U359" s="167">
        <v>23319.004312970865</v>
      </c>
      <c r="V359" s="167">
        <v>23362.963383802336</v>
      </c>
      <c r="W359" s="167">
        <v>23510.648233007258</v>
      </c>
      <c r="X359" s="167">
        <v>7550.4327718809564</v>
      </c>
      <c r="Y359"/>
      <c r="Z359"/>
      <c r="AA359"/>
      <c r="AB359"/>
      <c r="AC359"/>
      <c r="AD359"/>
      <c r="AE359"/>
      <c r="AF359"/>
      <c r="AG359"/>
    </row>
    <row r="360" spans="1:33" ht="12.75">
      <c r="A360" s="168" t="s">
        <v>34</v>
      </c>
      <c r="B360" s="581">
        <f>NPV(0.1,D360:Y360)</f>
        <v>80561.922497659398</v>
      </c>
      <c r="C360" s="581">
        <f>B360-B350</f>
        <v>-2763.9127404406318</v>
      </c>
      <c r="D360" s="585">
        <v>1981.4635674062497</v>
      </c>
      <c r="E360" s="586">
        <v>3979.3455970179098</v>
      </c>
      <c r="F360" s="586">
        <v>4200.202649480947</v>
      </c>
      <c r="G360" s="586">
        <v>4437.7934202961451</v>
      </c>
      <c r="H360" s="586">
        <v>7099.9289020388678</v>
      </c>
      <c r="I360" s="586">
        <v>10023.711012748081</v>
      </c>
      <c r="J360" s="586">
        <v>10567.678364712303</v>
      </c>
      <c r="K360" s="586">
        <v>11015.786358318652</v>
      </c>
      <c r="L360" s="586">
        <v>11838.569880482504</v>
      </c>
      <c r="M360" s="586">
        <v>12352.586670066245</v>
      </c>
      <c r="N360" s="586">
        <v>13270.837234706609</v>
      </c>
      <c r="O360" s="587">
        <v>13376.063027370994</v>
      </c>
      <c r="P360" s="167">
        <v>14421.64895330127</v>
      </c>
      <c r="Q360" s="167">
        <v>15138.041775226522</v>
      </c>
      <c r="R360" s="167">
        <v>15892.774850196573</v>
      </c>
      <c r="S360" s="167">
        <v>16714.492971589138</v>
      </c>
      <c r="T360" s="167">
        <v>16982.627457225699</v>
      </c>
      <c r="U360" s="167">
        <v>17223.660575828668</v>
      </c>
      <c r="V360" s="167">
        <v>17455.213479834496</v>
      </c>
      <c r="W360" s="167">
        <v>17615.43966819776</v>
      </c>
      <c r="X360" s="167">
        <v>17938.003756395505</v>
      </c>
      <c r="Y360"/>
      <c r="Z360"/>
      <c r="AA360"/>
      <c r="AB360"/>
      <c r="AC360"/>
      <c r="AD360"/>
      <c r="AE360"/>
      <c r="AF360"/>
      <c r="AG360"/>
    </row>
    <row r="361" spans="1:33" ht="12.75">
      <c r="A361" s="168" t="s">
        <v>31</v>
      </c>
      <c r="B361" s="581">
        <f>NPV(0.1,D361:Y361)</f>
        <v>91253.007851048911</v>
      </c>
      <c r="C361" s="581">
        <f>B361-B351</f>
        <v>-2258.5807943050022</v>
      </c>
      <c r="D361" s="588">
        <v>3222.5028349931858</v>
      </c>
      <c r="E361" s="589">
        <v>6928.8622646595859</v>
      </c>
      <c r="F361" s="589">
        <v>6369.7482352902944</v>
      </c>
      <c r="G361" s="589">
        <v>6360.3339993050786</v>
      </c>
      <c r="H361" s="589">
        <v>13732.67186383111</v>
      </c>
      <c r="I361" s="589">
        <v>12152.276199435339</v>
      </c>
      <c r="J361" s="589">
        <v>11635.319141693999</v>
      </c>
      <c r="K361" s="589">
        <v>11551.596834323424</v>
      </c>
      <c r="L361" s="589">
        <v>11571.267990298853</v>
      </c>
      <c r="M361" s="589">
        <v>11452.393601709982</v>
      </c>
      <c r="N361" s="589">
        <v>11431.511772099288</v>
      </c>
      <c r="O361" s="590">
        <v>11873.937087609045</v>
      </c>
      <c r="P361" s="167">
        <v>10993.257121773959</v>
      </c>
      <c r="Q361" s="167">
        <v>10781.124530009474</v>
      </c>
      <c r="R361" s="167">
        <v>10543.452558409721</v>
      </c>
      <c r="S361" s="167">
        <v>21055.364239497118</v>
      </c>
      <c r="T361" s="167">
        <v>19581.85451247634</v>
      </c>
      <c r="U361" s="167">
        <v>19806.546577554385</v>
      </c>
      <c r="V361" s="167">
        <v>20038.099481560217</v>
      </c>
      <c r="W361" s="167">
        <v>20296.371991072992</v>
      </c>
      <c r="X361" s="167">
        <v>20341.138169347098</v>
      </c>
      <c r="Y361"/>
      <c r="Z361"/>
      <c r="AA361"/>
      <c r="AB361"/>
      <c r="AC361"/>
      <c r="AD361"/>
      <c r="AE361"/>
      <c r="AF361"/>
      <c r="AG361"/>
    </row>
    <row r="362" spans="1:33" ht="12.75">
      <c r="A362" s="163"/>
      <c r="B362" s="163"/>
      <c r="C362" s="163"/>
      <c r="D362"/>
      <c r="E362"/>
      <c r="F362"/>
      <c r="G362"/>
      <c r="H362"/>
      <c r="I362"/>
      <c r="J362"/>
      <c r="K362"/>
      <c r="L362"/>
      <c r="M362"/>
      <c r="N362"/>
      <c r="O362"/>
      <c r="P362"/>
      <c r="Q362"/>
      <c r="R362"/>
      <c r="S362"/>
      <c r="T362"/>
      <c r="U362"/>
      <c r="V362"/>
      <c r="W362"/>
      <c r="X362"/>
      <c r="Y362"/>
      <c r="Z362"/>
      <c r="AA362"/>
      <c r="AB362"/>
      <c r="AC362"/>
      <c r="AD362"/>
      <c r="AE362"/>
      <c r="AF362"/>
      <c r="AG362"/>
    </row>
    <row r="363" spans="1:33" ht="12.75">
      <c r="A363" s="169" t="s">
        <v>648</v>
      </c>
      <c r="B363" s="163"/>
      <c r="C363" s="163"/>
      <c r="D363"/>
      <c r="E363"/>
      <c r="F363"/>
      <c r="G363"/>
      <c r="H363"/>
      <c r="I363"/>
      <c r="J363"/>
      <c r="K363"/>
      <c r="L363"/>
      <c r="M363"/>
      <c r="N363"/>
      <c r="O363"/>
      <c r="P363"/>
      <c r="Q363"/>
      <c r="R363"/>
      <c r="S363"/>
      <c r="T363"/>
      <c r="U363"/>
      <c r="V363"/>
      <c r="W363"/>
      <c r="X363"/>
      <c r="Y363"/>
      <c r="Z363"/>
      <c r="AA363"/>
      <c r="AB363"/>
      <c r="AC363"/>
      <c r="AD363"/>
      <c r="AE363"/>
      <c r="AF363"/>
      <c r="AG363"/>
    </row>
    <row r="364" spans="1:33" ht="12.75">
      <c r="A364" s="416">
        <v>36284</v>
      </c>
      <c r="B364" s="163"/>
      <c r="C364" s="163"/>
      <c r="D364"/>
      <c r="E364"/>
      <c r="F364"/>
      <c r="G364"/>
      <c r="H364"/>
      <c r="I364"/>
      <c r="J364"/>
      <c r="K364"/>
      <c r="L364"/>
      <c r="M364"/>
      <c r="N364"/>
      <c r="O364"/>
      <c r="P364"/>
      <c r="Q364"/>
      <c r="R364"/>
      <c r="S364"/>
      <c r="T364"/>
      <c r="U364"/>
      <c r="V364"/>
      <c r="W364"/>
      <c r="X364"/>
      <c r="Y364"/>
      <c r="Z364"/>
      <c r="AA364"/>
      <c r="AB364"/>
      <c r="AC364"/>
      <c r="AD364"/>
      <c r="AE364"/>
      <c r="AF364"/>
      <c r="AG364"/>
    </row>
    <row r="365" spans="1:33" ht="12.75">
      <c r="A365" s="164" t="s">
        <v>427</v>
      </c>
      <c r="B365" s="172">
        <v>27320.240194280566</v>
      </c>
      <c r="C365" s="163"/>
      <c r="D365"/>
      <c r="E365"/>
      <c r="F365"/>
      <c r="G365"/>
      <c r="H365"/>
      <c r="I365"/>
      <c r="J365"/>
      <c r="K365"/>
      <c r="L365"/>
      <c r="M365"/>
      <c r="N365"/>
      <c r="O365"/>
      <c r="P365"/>
      <c r="Q365"/>
      <c r="R365"/>
      <c r="S365"/>
      <c r="T365"/>
      <c r="U365"/>
      <c r="V365"/>
      <c r="W365"/>
      <c r="X365"/>
      <c r="Y365"/>
      <c r="Z365"/>
      <c r="AA365"/>
      <c r="AB365"/>
      <c r="AC365"/>
      <c r="AD365"/>
      <c r="AE365"/>
      <c r="AF365"/>
      <c r="AG365"/>
    </row>
    <row r="366" spans="1:33" ht="12.75">
      <c r="A366" s="165" t="s">
        <v>428</v>
      </c>
      <c r="B366" s="173">
        <v>56698.820314414101</v>
      </c>
      <c r="C366" s="163"/>
      <c r="D366"/>
      <c r="E366"/>
      <c r="F366"/>
      <c r="G366"/>
      <c r="H366"/>
      <c r="I366"/>
      <c r="J366"/>
      <c r="K366"/>
      <c r="L366"/>
      <c r="M366"/>
      <c r="N366"/>
      <c r="O366"/>
      <c r="P366"/>
      <c r="Q366"/>
      <c r="R366"/>
      <c r="S366"/>
      <c r="T366"/>
      <c r="U366"/>
      <c r="V366"/>
      <c r="W366"/>
      <c r="X366"/>
      <c r="Y366"/>
      <c r="Z366"/>
      <c r="AA366"/>
      <c r="AB366"/>
      <c r="AC366"/>
      <c r="AD366"/>
      <c r="AE366"/>
      <c r="AF366"/>
      <c r="AG366"/>
    </row>
    <row r="367" spans="1:33" ht="12.75">
      <c r="A367" s="166" t="s">
        <v>429</v>
      </c>
      <c r="B367" s="580" t="s">
        <v>499</v>
      </c>
      <c r="C367" s="580" t="s">
        <v>500</v>
      </c>
      <c r="D367" s="582">
        <v>1999</v>
      </c>
      <c r="E367" s="583">
        <v>2000</v>
      </c>
      <c r="F367" s="583">
        <v>2001</v>
      </c>
      <c r="G367" s="583">
        <v>2002</v>
      </c>
      <c r="H367" s="583">
        <v>2003</v>
      </c>
      <c r="I367" s="583">
        <v>2004</v>
      </c>
      <c r="J367" s="583">
        <v>2005</v>
      </c>
      <c r="K367" s="583">
        <v>2006</v>
      </c>
      <c r="L367" s="583">
        <v>2007</v>
      </c>
      <c r="M367" s="583">
        <v>2008</v>
      </c>
      <c r="N367" s="583">
        <v>2009</v>
      </c>
      <c r="O367" s="584">
        <v>2010</v>
      </c>
      <c r="P367" s="171">
        <v>2011</v>
      </c>
      <c r="Q367" s="171">
        <v>2012</v>
      </c>
      <c r="R367" s="171">
        <v>2013</v>
      </c>
      <c r="S367" s="171">
        <v>2014</v>
      </c>
      <c r="T367" s="171">
        <v>2015</v>
      </c>
      <c r="U367" s="171">
        <v>2016</v>
      </c>
      <c r="V367" s="171">
        <v>2017</v>
      </c>
      <c r="W367" s="171">
        <v>2018</v>
      </c>
      <c r="X367" s="171">
        <v>2019</v>
      </c>
      <c r="Y367"/>
      <c r="Z367"/>
      <c r="AA367"/>
      <c r="AB367"/>
      <c r="AC367"/>
      <c r="AD367"/>
      <c r="AE367"/>
      <c r="AF367"/>
      <c r="AG367"/>
    </row>
    <row r="368" spans="1:33" ht="12.75">
      <c r="A368" s="166" t="s">
        <v>430</v>
      </c>
      <c r="B368" s="581">
        <f>NPV(0.1,D368:Y368)</f>
        <v>391133.13466391561</v>
      </c>
      <c r="C368" s="581">
        <f>B368-B358</f>
        <v>0</v>
      </c>
      <c r="D368" s="585">
        <v>28857.4627525</v>
      </c>
      <c r="E368" s="586">
        <v>39520.104752500003</v>
      </c>
      <c r="F368" s="586">
        <v>39576.386012500006</v>
      </c>
      <c r="G368" s="586">
        <v>39634.355710300006</v>
      </c>
      <c r="H368" s="586">
        <v>43777.686642789944</v>
      </c>
      <c r="I368" s="586">
        <v>48203.926377651944</v>
      </c>
      <c r="J368" s="586">
        <v>48634.166183597059</v>
      </c>
      <c r="K368" s="586">
        <v>49061.331218814106</v>
      </c>
      <c r="L368" s="586">
        <v>50050.025333541533</v>
      </c>
      <c r="M368" s="586">
        <v>50486.249452834076</v>
      </c>
      <c r="N368" s="586">
        <v>51517.6911145821</v>
      </c>
      <c r="O368" s="587">
        <v>51962.493440436265</v>
      </c>
      <c r="P368" s="167">
        <v>53038.222421812359</v>
      </c>
      <c r="Q368" s="167">
        <v>53491.029907411496</v>
      </c>
      <c r="R368" s="167">
        <v>53937.76581662205</v>
      </c>
      <c r="S368" s="167">
        <v>54377.658328123682</v>
      </c>
      <c r="T368" s="167">
        <v>54809.894775735556</v>
      </c>
      <c r="U368" s="167">
        <v>55233.619892363946</v>
      </c>
      <c r="V368" s="167">
        <v>55647.933985346986</v>
      </c>
      <c r="W368" s="167">
        <v>56051.891040660994</v>
      </c>
      <c r="X368" s="167">
        <v>40607.597547962134</v>
      </c>
      <c r="Y368"/>
      <c r="Z368"/>
      <c r="AA368"/>
      <c r="AB368"/>
      <c r="AC368"/>
      <c r="AD368"/>
      <c r="AE368"/>
      <c r="AF368"/>
      <c r="AG368"/>
    </row>
    <row r="369" spans="1:33" ht="12.75">
      <c r="A369" s="168" t="s">
        <v>431</v>
      </c>
      <c r="B369" s="581">
        <f>NPV(0.1,D369:Y369)</f>
        <v>185374.92434136852</v>
      </c>
      <c r="C369" s="581">
        <f>B369-B359</f>
        <v>1.4241028123651631</v>
      </c>
      <c r="D369" s="585">
        <v>19539.639694265581</v>
      </c>
      <c r="E369" s="586">
        <v>21044.378259752335</v>
      </c>
      <c r="F369" s="586">
        <v>21126.572634713957</v>
      </c>
      <c r="G369" s="586">
        <v>21211.753783802364</v>
      </c>
      <c r="H369" s="586">
        <v>21339.427392759728</v>
      </c>
      <c r="I369" s="586">
        <v>21489.345572622573</v>
      </c>
      <c r="J369" s="586">
        <v>21601.613082178883</v>
      </c>
      <c r="K369" s="586">
        <v>21712.588467938178</v>
      </c>
      <c r="L369" s="586">
        <v>21827.857991126501</v>
      </c>
      <c r="M369" s="586">
        <v>21947.52185323272</v>
      </c>
      <c r="N369" s="586">
        <v>22066.307106761356</v>
      </c>
      <c r="O369" s="587">
        <v>22972.164815900163</v>
      </c>
      <c r="P369" s="167">
        <v>23040.676798854554</v>
      </c>
      <c r="Q369" s="167">
        <v>23097.836217735643</v>
      </c>
      <c r="R369" s="167">
        <v>23160.120325173088</v>
      </c>
      <c r="S369" s="167">
        <v>23231.943087823536</v>
      </c>
      <c r="T369" s="167">
        <v>23280.862021096738</v>
      </c>
      <c r="U369" s="167">
        <v>23319.065231777273</v>
      </c>
      <c r="V369" s="167">
        <v>23363.020455105179</v>
      </c>
      <c r="W369" s="167">
        <v>23510.701456806539</v>
      </c>
      <c r="X369" s="167">
        <v>7550.4821481766749</v>
      </c>
      <c r="Y369"/>
      <c r="Z369"/>
      <c r="AA369"/>
      <c r="AB369"/>
      <c r="AC369"/>
      <c r="AD369"/>
      <c r="AE369"/>
      <c r="AF369"/>
      <c r="AG369"/>
    </row>
    <row r="370" spans="1:33" ht="12.75">
      <c r="A370" s="168" t="s">
        <v>34</v>
      </c>
      <c r="B370" s="581">
        <f>NPV(0.1,D370:Y370)</f>
        <v>80538.752614315497</v>
      </c>
      <c r="C370" s="581">
        <f>B370-B360</f>
        <v>-23.169883343900437</v>
      </c>
      <c r="D370" s="585">
        <v>1979.1991551176147</v>
      </c>
      <c r="E370" s="586">
        <v>3974.9776022986121</v>
      </c>
      <c r="F370" s="586">
        <v>4195.8359262851154</v>
      </c>
      <c r="G370" s="586">
        <v>4433.4278956409016</v>
      </c>
      <c r="H370" s="586">
        <v>7095.5650760540502</v>
      </c>
      <c r="I370" s="586">
        <v>10020.738683435211</v>
      </c>
      <c r="J370" s="586">
        <v>10566.06387204469</v>
      </c>
      <c r="K370" s="586">
        <v>11014.17549756902</v>
      </c>
      <c r="L370" s="586">
        <v>11836.962678761251</v>
      </c>
      <c r="M370" s="586">
        <v>12350.98316682674</v>
      </c>
      <c r="N370" s="586">
        <v>13269.237462384357</v>
      </c>
      <c r="O370" s="587">
        <v>13374.467031170474</v>
      </c>
      <c r="P370" s="167">
        <v>14420.05677186918</v>
      </c>
      <c r="Q370" s="167">
        <v>15136.453460475443</v>
      </c>
      <c r="R370" s="167">
        <v>15891.190448017942</v>
      </c>
      <c r="S370" s="167">
        <v>16712.911071521408</v>
      </c>
      <c r="T370" s="167">
        <v>16981.047962689343</v>
      </c>
      <c r="U370" s="167">
        <v>17222.083486823678</v>
      </c>
      <c r="V370" s="167">
        <v>17453.638796360872</v>
      </c>
      <c r="W370" s="167">
        <v>17613.867390255506</v>
      </c>
      <c r="X370" s="167">
        <v>17936.433883984617</v>
      </c>
      <c r="Y370"/>
      <c r="Z370"/>
      <c r="AA370"/>
      <c r="AB370"/>
      <c r="AC370"/>
      <c r="AD370"/>
      <c r="AE370"/>
      <c r="AF370"/>
      <c r="AG370"/>
    </row>
    <row r="371" spans="1:33" ht="12.75">
      <c r="A371" s="168" t="s">
        <v>31</v>
      </c>
      <c r="B371" s="581">
        <f>NPV(0.1,D371:Y371)</f>
        <v>91271.624419784639</v>
      </c>
      <c r="C371" s="581">
        <f>B371-B361</f>
        <v>18.616568735727924</v>
      </c>
      <c r="D371" s="588">
        <v>3222.4138076394024</v>
      </c>
      <c r="E371" s="589">
        <v>6928.7768450642598</v>
      </c>
      <c r="F371" s="589">
        <v>6369.666424134396</v>
      </c>
      <c r="G371" s="589">
        <v>6360.2557972304867</v>
      </c>
      <c r="H371" s="589">
        <v>13732.539754960228</v>
      </c>
      <c r="I371" s="589">
        <v>12174.955013107294</v>
      </c>
      <c r="J371" s="589">
        <v>11637.153086668855</v>
      </c>
      <c r="K371" s="589">
        <v>11553.436939573789</v>
      </c>
      <c r="L371" s="589">
        <v>11573.107878775301</v>
      </c>
      <c r="M371" s="589">
        <v>11454.239609230131</v>
      </c>
      <c r="N371" s="589">
        <v>11433.357518315168</v>
      </c>
      <c r="O371" s="590">
        <v>11875.788904775842</v>
      </c>
      <c r="P371" s="167">
        <v>10995.108625696277</v>
      </c>
      <c r="Q371" s="167">
        <v>10782.982048787288</v>
      </c>
      <c r="R371" s="167">
        <v>10545.309703360004</v>
      </c>
      <c r="S371" s="167">
        <v>21056.258760953133</v>
      </c>
      <c r="T371" s="167">
        <v>19581.814019364978</v>
      </c>
      <c r="U371" s="167">
        <v>19806.508489974392</v>
      </c>
      <c r="V371" s="167">
        <v>20038.06379951159</v>
      </c>
      <c r="W371" s="167">
        <v>20296.338714555743</v>
      </c>
      <c r="X371" s="167">
        <v>20341.107298361214</v>
      </c>
      <c r="Y371"/>
      <c r="Z371"/>
      <c r="AA371"/>
      <c r="AB371"/>
      <c r="AC371"/>
      <c r="AD371"/>
      <c r="AE371"/>
      <c r="AF371"/>
      <c r="AG371"/>
    </row>
    <row r="372" spans="1:33" ht="12.75">
      <c r="A372" s="163"/>
      <c r="B372" s="163"/>
      <c r="C372" s="163"/>
      <c r="D372"/>
      <c r="E372"/>
      <c r="F372"/>
      <c r="G372"/>
      <c r="H372"/>
      <c r="I372"/>
      <c r="J372"/>
      <c r="K372"/>
      <c r="L372"/>
      <c r="M372"/>
      <c r="N372"/>
      <c r="O372"/>
      <c r="P372"/>
      <c r="Q372"/>
      <c r="R372"/>
      <c r="S372"/>
      <c r="T372"/>
      <c r="U372"/>
      <c r="V372"/>
      <c r="W372"/>
      <c r="X372"/>
      <c r="Y372"/>
      <c r="Z372"/>
      <c r="AA372"/>
      <c r="AB372"/>
      <c r="AC372"/>
      <c r="AD372"/>
      <c r="AE372"/>
      <c r="AF372"/>
      <c r="AG372"/>
    </row>
    <row r="373" spans="1:33" ht="12.75">
      <c r="A373" s="169" t="s">
        <v>652</v>
      </c>
      <c r="B373" s="163"/>
      <c r="C373" s="163"/>
      <c r="D373"/>
      <c r="E373"/>
      <c r="F373"/>
      <c r="G373"/>
      <c r="H373"/>
      <c r="I373"/>
      <c r="J373"/>
      <c r="K373"/>
      <c r="L373"/>
      <c r="M373"/>
      <c r="N373"/>
      <c r="O373"/>
      <c r="P373"/>
      <c r="Q373"/>
      <c r="R373"/>
      <c r="S373"/>
      <c r="T373"/>
      <c r="U373"/>
      <c r="V373"/>
      <c r="W373"/>
      <c r="X373"/>
      <c r="Y373"/>
      <c r="Z373"/>
      <c r="AA373"/>
      <c r="AB373"/>
      <c r="AC373"/>
      <c r="AD373"/>
      <c r="AE373"/>
      <c r="AF373"/>
      <c r="AG373"/>
    </row>
    <row r="374" spans="1:33" ht="12.75">
      <c r="A374" s="416">
        <v>36285</v>
      </c>
      <c r="B374" s="163"/>
      <c r="C374" s="163"/>
      <c r="D374"/>
      <c r="E374"/>
      <c r="F374"/>
      <c r="G374"/>
      <c r="H374"/>
      <c r="I374"/>
      <c r="J374"/>
      <c r="K374"/>
      <c r="L374"/>
      <c r="M374"/>
      <c r="N374"/>
      <c r="O374"/>
      <c r="P374"/>
      <c r="Q374"/>
      <c r="R374"/>
      <c r="S374"/>
      <c r="T374"/>
      <c r="U374"/>
      <c r="V374"/>
      <c r="W374"/>
      <c r="X374"/>
      <c r="Y374"/>
      <c r="Z374"/>
      <c r="AA374"/>
      <c r="AB374"/>
      <c r="AC374"/>
      <c r="AD374"/>
      <c r="AE374"/>
      <c r="AF374"/>
      <c r="AG374"/>
    </row>
    <row r="375" spans="1:33" ht="12.75">
      <c r="A375" s="164" t="s">
        <v>427</v>
      </c>
      <c r="B375" s="172">
        <v>27373.569858622468</v>
      </c>
      <c r="C375" s="163"/>
      <c r="D375"/>
      <c r="E375"/>
      <c r="F375"/>
      <c r="G375"/>
      <c r="H375"/>
      <c r="I375"/>
      <c r="J375"/>
      <c r="K375"/>
      <c r="L375"/>
      <c r="M375"/>
      <c r="N375"/>
      <c r="O375"/>
      <c r="P375"/>
      <c r="Q375"/>
      <c r="R375"/>
      <c r="S375"/>
      <c r="T375"/>
      <c r="U375"/>
      <c r="V375"/>
      <c r="W375"/>
      <c r="X375"/>
      <c r="Y375"/>
      <c r="Z375"/>
      <c r="AA375"/>
      <c r="AB375"/>
      <c r="AC375"/>
      <c r="AD375"/>
      <c r="AE375"/>
      <c r="AF375"/>
      <c r="AG375"/>
    </row>
    <row r="376" spans="1:33" ht="12.75">
      <c r="A376" s="165" t="s">
        <v>428</v>
      </c>
      <c r="B376" s="173">
        <v>56769.400779413707</v>
      </c>
      <c r="C376" s="163"/>
      <c r="D376"/>
      <c r="E376"/>
      <c r="F376"/>
      <c r="G376"/>
      <c r="H376"/>
      <c r="I376"/>
      <c r="J376"/>
      <c r="K376"/>
      <c r="L376"/>
      <c r="M376"/>
      <c r="N376"/>
      <c r="O376"/>
      <c r="P376"/>
      <c r="Q376"/>
      <c r="R376"/>
      <c r="S376"/>
      <c r="T376"/>
      <c r="U376"/>
      <c r="V376"/>
      <c r="W376"/>
      <c r="X376"/>
      <c r="Y376"/>
      <c r="Z376"/>
      <c r="AA376"/>
      <c r="AB376"/>
      <c r="AC376"/>
      <c r="AD376"/>
      <c r="AE376"/>
      <c r="AF376"/>
      <c r="AG376"/>
    </row>
    <row r="377" spans="1:33" ht="12.75">
      <c r="A377" s="166" t="s">
        <v>429</v>
      </c>
      <c r="B377" s="580" t="s">
        <v>499</v>
      </c>
      <c r="C377" s="580" t="s">
        <v>500</v>
      </c>
      <c r="D377" s="582">
        <v>1999</v>
      </c>
      <c r="E377" s="583">
        <v>2000</v>
      </c>
      <c r="F377" s="583">
        <v>2001</v>
      </c>
      <c r="G377" s="583">
        <v>2002</v>
      </c>
      <c r="H377" s="583">
        <v>2003</v>
      </c>
      <c r="I377" s="583">
        <v>2004</v>
      </c>
      <c r="J377" s="583">
        <v>2005</v>
      </c>
      <c r="K377" s="583">
        <v>2006</v>
      </c>
      <c r="L377" s="583">
        <v>2007</v>
      </c>
      <c r="M377" s="583">
        <v>2008</v>
      </c>
      <c r="N377" s="583">
        <v>2009</v>
      </c>
      <c r="O377" s="584">
        <v>2010</v>
      </c>
      <c r="P377" s="171">
        <v>2011</v>
      </c>
      <c r="Q377" s="171">
        <v>2012</v>
      </c>
      <c r="R377" s="171">
        <v>2013</v>
      </c>
      <c r="S377" s="171">
        <v>2014</v>
      </c>
      <c r="T377" s="171">
        <v>2015</v>
      </c>
      <c r="U377" s="171">
        <v>2016</v>
      </c>
      <c r="V377" s="171">
        <v>2017</v>
      </c>
      <c r="W377" s="171">
        <v>2018</v>
      </c>
      <c r="X377" s="171">
        <v>2019</v>
      </c>
      <c r="Y377"/>
      <c r="Z377"/>
      <c r="AA377"/>
      <c r="AB377"/>
      <c r="AC377"/>
      <c r="AD377"/>
      <c r="AE377"/>
      <c r="AF377"/>
      <c r="AG377"/>
    </row>
    <row r="378" spans="1:33" ht="12.75">
      <c r="A378" s="166" t="s">
        <v>430</v>
      </c>
      <c r="B378" s="581">
        <f>NPV(0.1,D378:Y378)</f>
        <v>395402.89869922481</v>
      </c>
      <c r="C378" s="581">
        <f>B378-B368</f>
        <v>4269.7640353091992</v>
      </c>
      <c r="D378" s="585">
        <v>28857.4627525</v>
      </c>
      <c r="E378" s="586">
        <v>40085.027314604071</v>
      </c>
      <c r="F378" s="586">
        <v>40141.803659717196</v>
      </c>
      <c r="G378" s="586">
        <v>40200.283295183712</v>
      </c>
      <c r="H378" s="586">
        <v>44338.474935263366</v>
      </c>
      <c r="I378" s="586">
        <v>48759.580314931562</v>
      </c>
      <c r="J378" s="586">
        <v>49190.366199080068</v>
      </c>
      <c r="K378" s="586">
        <v>49618.093694846604</v>
      </c>
      <c r="L378" s="586">
        <v>50607.367143940013</v>
      </c>
      <c r="M378" s="586">
        <v>51044.187977629503</v>
      </c>
      <c r="N378" s="586">
        <v>52076.244255206388</v>
      </c>
      <c r="O378" s="587">
        <v>52521.679635364279</v>
      </c>
      <c r="P378" s="167">
        <v>53598.060662673219</v>
      </c>
      <c r="Q378" s="167">
        <v>54051.539755583173</v>
      </c>
      <c r="R378" s="167">
        <v>54498.967420323883</v>
      </c>
      <c r="S378" s="167">
        <v>54939.572440021569</v>
      </c>
      <c r="T378" s="167">
        <v>55372.542771075379</v>
      </c>
      <c r="U378" s="167">
        <v>55797.023787648963</v>
      </c>
      <c r="V378" s="167">
        <v>56212.116457575554</v>
      </c>
      <c r="W378" s="167">
        <v>56616.875447141421</v>
      </c>
      <c r="X378" s="167">
        <v>40635.956616221978</v>
      </c>
      <c r="Y378"/>
      <c r="Z378"/>
      <c r="AA378"/>
      <c r="AB378"/>
      <c r="AC378"/>
      <c r="AD378"/>
      <c r="AE378"/>
      <c r="AF378"/>
      <c r="AG378"/>
    </row>
    <row r="379" spans="1:33" ht="12.75">
      <c r="A379" s="168" t="s">
        <v>431</v>
      </c>
      <c r="B379" s="581">
        <f>NPV(0.1,D379:Y379)</f>
        <v>189577.02130614375</v>
      </c>
      <c r="C379" s="581">
        <f>B379-B369</f>
        <v>4202.0969647752354</v>
      </c>
      <c r="D379" s="585">
        <v>19539.641168152342</v>
      </c>
      <c r="E379" s="586">
        <v>21592.786528556644</v>
      </c>
      <c r="F379" s="586">
        <v>21674.96690170783</v>
      </c>
      <c r="G379" s="586">
        <v>21760.132891745794</v>
      </c>
      <c r="H379" s="586">
        <v>21889.26173125497</v>
      </c>
      <c r="I379" s="586">
        <v>22041.111619392035</v>
      </c>
      <c r="J379" s="586">
        <v>22153.808570436424</v>
      </c>
      <c r="K379" s="586">
        <v>22265.226280928444</v>
      </c>
      <c r="L379" s="586">
        <v>22380.951398591475</v>
      </c>
      <c r="M379" s="586">
        <v>22501.084523006648</v>
      </c>
      <c r="N379" s="586">
        <v>22620.353116713497</v>
      </c>
      <c r="O379" s="587">
        <v>23526.708666235878</v>
      </c>
      <c r="P379" s="167">
        <v>23595.733424785329</v>
      </c>
      <c r="Q379" s="167">
        <v>23653.421002529343</v>
      </c>
      <c r="R379" s="167">
        <v>23716.249113595601</v>
      </c>
      <c r="S379" s="167">
        <v>23788.632199983724</v>
      </c>
      <c r="T379" s="167">
        <v>23838.128266706735</v>
      </c>
      <c r="U379" s="167">
        <v>23876.925924840569</v>
      </c>
      <c r="V379" s="167">
        <v>23921.493429045371</v>
      </c>
      <c r="W379" s="167">
        <v>24069.80508004994</v>
      </c>
      <c r="X379" s="167">
        <v>7572.7840097023727</v>
      </c>
      <c r="Y379"/>
      <c r="Z379"/>
      <c r="AA379"/>
      <c r="AB379"/>
      <c r="AC379"/>
      <c r="AD379"/>
      <c r="AE379"/>
      <c r="AF379"/>
      <c r="AG379"/>
    </row>
    <row r="380" spans="1:33" ht="12.75">
      <c r="A380" s="168" t="s">
        <v>34</v>
      </c>
      <c r="B380" s="581">
        <f>NPV(0.1,D380:Y380)</f>
        <v>80574.503909852749</v>
      </c>
      <c r="C380" s="581">
        <f>B380-B370</f>
        <v>35.751295537251281</v>
      </c>
      <c r="D380" s="585">
        <v>1978.2473903321593</v>
      </c>
      <c r="E380" s="586">
        <v>3983.3272241673631</v>
      </c>
      <c r="F380" s="586">
        <v>4204.877618253915</v>
      </c>
      <c r="G380" s="586">
        <v>4443.2168772311034</v>
      </c>
      <c r="H380" s="586">
        <v>7101.6762054948586</v>
      </c>
      <c r="I380" s="586">
        <v>10022.589428599893</v>
      </c>
      <c r="J380" s="586">
        <v>10568.017962436787</v>
      </c>
      <c r="K380" s="586">
        <v>11016.239859375146</v>
      </c>
      <c r="L380" s="586">
        <v>11839.144752020016</v>
      </c>
      <c r="M380" s="586">
        <v>12353.290945329585</v>
      </c>
      <c r="N380" s="586">
        <v>13271.679536732319</v>
      </c>
      <c r="O380" s="587">
        <v>13377.052635238102</v>
      </c>
      <c r="P380" s="167">
        <v>14422.795832947219</v>
      </c>
      <c r="Q380" s="167">
        <v>15139.356653385259</v>
      </c>
      <c r="R380" s="167">
        <v>15894.269253514452</v>
      </c>
      <c r="S380" s="167">
        <v>16716.177839326163</v>
      </c>
      <c r="T380" s="167">
        <v>16984.412733528236</v>
      </c>
      <c r="U380" s="167">
        <v>17225.54920078774</v>
      </c>
      <c r="V380" s="167">
        <v>17457.208481743859</v>
      </c>
      <c r="W380" s="167">
        <v>17617.544166199979</v>
      </c>
      <c r="X380" s="167">
        <v>17940.22096320743</v>
      </c>
      <c r="Y380"/>
      <c r="Z380"/>
      <c r="AA380"/>
      <c r="AB380"/>
      <c r="AC380"/>
      <c r="AD380"/>
      <c r="AE380"/>
      <c r="AF380"/>
      <c r="AG380"/>
    </row>
    <row r="381" spans="1:33" ht="12.75">
      <c r="A381" s="168" t="s">
        <v>31</v>
      </c>
      <c r="B381" s="581">
        <f>NPV(0.1,D381:Y381)</f>
        <v>91286.139618341767</v>
      </c>
      <c r="C381" s="581">
        <f>B381-B371</f>
        <v>14.515198557128315</v>
      </c>
      <c r="D381" s="588">
        <v>3222.4132979202323</v>
      </c>
      <c r="E381" s="589">
        <v>6934.4880381637577</v>
      </c>
      <c r="F381" s="589">
        <v>6375.5536764616245</v>
      </c>
      <c r="G381" s="589">
        <v>6366.324645505666</v>
      </c>
      <c r="H381" s="589">
        <v>13739.249051771858</v>
      </c>
      <c r="I381" s="589">
        <v>12156.157673968202</v>
      </c>
      <c r="J381" s="589">
        <v>11638.395431132954</v>
      </c>
      <c r="K381" s="589">
        <v>11554.684561450973</v>
      </c>
      <c r="L381" s="589">
        <v>11574.358376954297</v>
      </c>
      <c r="M381" s="589">
        <v>11455.490305811629</v>
      </c>
      <c r="N381" s="589">
        <v>11434.60543392782</v>
      </c>
      <c r="O381" s="590">
        <v>11877.030731841271</v>
      </c>
      <c r="P381" s="167">
        <v>10996.340699476827</v>
      </c>
      <c r="Q381" s="167">
        <v>10784.200316036655</v>
      </c>
      <c r="R381" s="167">
        <v>10546.509688382694</v>
      </c>
      <c r="S381" s="167">
        <v>21059.525528757891</v>
      </c>
      <c r="T381" s="167">
        <v>19585.178790203874</v>
      </c>
      <c r="U381" s="167">
        <v>19809.974203938455</v>
      </c>
      <c r="V381" s="167">
        <v>20041.633484894577</v>
      </c>
      <c r="W381" s="167">
        <v>20300.01549050022</v>
      </c>
      <c r="X381" s="167">
        <v>20344.894377584031</v>
      </c>
      <c r="Y381"/>
      <c r="Z381"/>
      <c r="AA381"/>
      <c r="AB381"/>
      <c r="AC381"/>
      <c r="AD381"/>
      <c r="AE381"/>
      <c r="AF381"/>
      <c r="AG381"/>
    </row>
    <row r="382" spans="1:33" ht="12.75">
      <c r="A382" s="163"/>
      <c r="B382" s="163"/>
      <c r="C382" s="163"/>
      <c r="D382"/>
      <c r="E382"/>
      <c r="F382"/>
      <c r="G382"/>
      <c r="H382"/>
      <c r="I382"/>
      <c r="J382"/>
      <c r="K382"/>
      <c r="L382"/>
      <c r="M382"/>
      <c r="N382"/>
      <c r="O382"/>
      <c r="P382"/>
      <c r="Q382"/>
      <c r="R382"/>
      <c r="S382"/>
      <c r="T382"/>
      <c r="U382"/>
      <c r="V382"/>
      <c r="W382"/>
      <c r="X382"/>
      <c r="Y382"/>
      <c r="Z382"/>
      <c r="AA382"/>
      <c r="AB382"/>
      <c r="AC382"/>
      <c r="AD382"/>
      <c r="AE382"/>
      <c r="AF382"/>
      <c r="AG382"/>
    </row>
    <row r="383" spans="1:33" ht="12.75">
      <c r="A383" s="169" t="s">
        <v>653</v>
      </c>
      <c r="B383" s="163"/>
      <c r="C383" s="163"/>
      <c r="D383"/>
      <c r="E383"/>
      <c r="F383"/>
      <c r="G383"/>
      <c r="H383"/>
      <c r="I383"/>
      <c r="J383"/>
      <c r="K383"/>
      <c r="L383"/>
      <c r="M383"/>
      <c r="N383"/>
      <c r="O383"/>
      <c r="P383"/>
      <c r="Q383"/>
      <c r="R383"/>
      <c r="S383"/>
      <c r="T383"/>
      <c r="U383"/>
      <c r="V383"/>
      <c r="W383"/>
      <c r="X383"/>
      <c r="Y383"/>
      <c r="Z383"/>
      <c r="AA383"/>
      <c r="AB383"/>
      <c r="AC383"/>
      <c r="AD383"/>
      <c r="AE383"/>
      <c r="AF383"/>
      <c r="AG383"/>
    </row>
    <row r="384" spans="1:33" ht="12.75">
      <c r="A384" s="416">
        <v>36285</v>
      </c>
      <c r="B384" s="163"/>
      <c r="C384" s="163"/>
      <c r="D384"/>
      <c r="E384"/>
      <c r="F384"/>
      <c r="G384"/>
      <c r="H384"/>
      <c r="I384"/>
      <c r="J384"/>
      <c r="K384"/>
      <c r="L384"/>
      <c r="M384"/>
      <c r="N384"/>
      <c r="O384"/>
      <c r="P384"/>
      <c r="Q384"/>
      <c r="R384"/>
      <c r="S384"/>
      <c r="T384"/>
      <c r="U384"/>
      <c r="V384"/>
      <c r="W384"/>
      <c r="X384"/>
      <c r="Y384"/>
      <c r="Z384"/>
      <c r="AA384"/>
      <c r="AB384"/>
      <c r="AC384"/>
      <c r="AD384"/>
      <c r="AE384"/>
      <c r="AF384"/>
      <c r="AG384"/>
    </row>
    <row r="385" spans="1:33" ht="12.75">
      <c r="A385" s="164" t="s">
        <v>427</v>
      </c>
      <c r="B385" s="172">
        <v>27373.569858622461</v>
      </c>
      <c r="C385" s="163"/>
      <c r="D385"/>
      <c r="E385"/>
      <c r="F385"/>
      <c r="G385"/>
      <c r="H385"/>
      <c r="I385"/>
      <c r="J385"/>
      <c r="K385"/>
      <c r="L385"/>
      <c r="M385"/>
      <c r="N385"/>
      <c r="O385"/>
      <c r="P385"/>
      <c r="Q385"/>
      <c r="R385"/>
      <c r="S385"/>
      <c r="T385"/>
      <c r="U385"/>
      <c r="V385"/>
      <c r="W385"/>
      <c r="X385"/>
      <c r="Y385"/>
      <c r="Z385"/>
      <c r="AA385"/>
      <c r="AB385"/>
      <c r="AC385"/>
      <c r="AD385"/>
      <c r="AE385"/>
      <c r="AF385"/>
      <c r="AG385"/>
    </row>
    <row r="386" spans="1:33" ht="12.75">
      <c r="A386" s="165" t="s">
        <v>428</v>
      </c>
      <c r="B386" s="173">
        <v>56769.400779413692</v>
      </c>
      <c r="C386" s="163"/>
      <c r="D386"/>
      <c r="E386"/>
      <c r="F386"/>
      <c r="G386"/>
      <c r="H386"/>
      <c r="I386"/>
      <c r="J386"/>
      <c r="K386"/>
      <c r="L386"/>
      <c r="M386"/>
      <c r="N386"/>
      <c r="O386"/>
      <c r="P386"/>
      <c r="Q386"/>
      <c r="R386"/>
      <c r="S386"/>
      <c r="T386"/>
      <c r="U386"/>
      <c r="V386"/>
      <c r="W386"/>
      <c r="X386"/>
      <c r="Y386"/>
      <c r="Z386"/>
      <c r="AA386"/>
      <c r="AB386"/>
      <c r="AC386"/>
      <c r="AD386"/>
      <c r="AE386"/>
      <c r="AF386"/>
      <c r="AG386"/>
    </row>
    <row r="387" spans="1:33" ht="12.75">
      <c r="A387" s="166" t="s">
        <v>429</v>
      </c>
      <c r="B387" s="580" t="s">
        <v>499</v>
      </c>
      <c r="C387" s="580" t="s">
        <v>500</v>
      </c>
      <c r="D387" s="582">
        <v>1999</v>
      </c>
      <c r="E387" s="583">
        <v>2000</v>
      </c>
      <c r="F387" s="583">
        <v>2001</v>
      </c>
      <c r="G387" s="583">
        <v>2002</v>
      </c>
      <c r="H387" s="583">
        <v>2003</v>
      </c>
      <c r="I387" s="583">
        <v>2004</v>
      </c>
      <c r="J387" s="583">
        <v>2005</v>
      </c>
      <c r="K387" s="583">
        <v>2006</v>
      </c>
      <c r="L387" s="583">
        <v>2007</v>
      </c>
      <c r="M387" s="583">
        <v>2008</v>
      </c>
      <c r="N387" s="583">
        <v>2009</v>
      </c>
      <c r="O387" s="584">
        <v>2010</v>
      </c>
      <c r="P387" s="171">
        <v>2011</v>
      </c>
      <c r="Q387" s="171">
        <v>2012</v>
      </c>
      <c r="R387" s="171">
        <v>2013</v>
      </c>
      <c r="S387" s="171">
        <v>2014</v>
      </c>
      <c r="T387" s="171">
        <v>2015</v>
      </c>
      <c r="U387" s="171">
        <v>2016</v>
      </c>
      <c r="V387" s="171">
        <v>2017</v>
      </c>
      <c r="W387" s="171">
        <v>2018</v>
      </c>
      <c r="X387" s="171">
        <v>2019</v>
      </c>
      <c r="Y387"/>
      <c r="Z387"/>
      <c r="AA387"/>
      <c r="AB387"/>
      <c r="AC387"/>
      <c r="AD387"/>
      <c r="AE387"/>
      <c r="AF387"/>
      <c r="AG387"/>
    </row>
    <row r="388" spans="1:33" ht="12.75">
      <c r="A388" s="166" t="s">
        <v>430</v>
      </c>
      <c r="B388" s="581">
        <f>NPV(0.1,D388:Y388)</f>
        <v>396067.83636161935</v>
      </c>
      <c r="C388" s="581">
        <f>B388-B378</f>
        <v>664.93766239454271</v>
      </c>
      <c r="D388" s="585">
        <v>28934.178482499996</v>
      </c>
      <c r="E388" s="586">
        <v>40164.346519604071</v>
      </c>
      <c r="F388" s="586">
        <v>40221.122864717196</v>
      </c>
      <c r="G388" s="586">
        <v>40279.602500183712</v>
      </c>
      <c r="H388" s="586">
        <v>44417.000948213368</v>
      </c>
      <c r="I388" s="586">
        <v>48837.313135831559</v>
      </c>
      <c r="J388" s="586">
        <v>49268.099019980073</v>
      </c>
      <c r="K388" s="586">
        <v>49695.826515746608</v>
      </c>
      <c r="L388" s="586">
        <v>50685.09996484001</v>
      </c>
      <c r="M388" s="586">
        <v>51121.9207985295</v>
      </c>
      <c r="N388" s="586">
        <v>52153.977076106385</v>
      </c>
      <c r="O388" s="587">
        <v>52599.412456264276</v>
      </c>
      <c r="P388" s="167">
        <v>53675.793483573216</v>
      </c>
      <c r="Q388" s="167">
        <v>54129.272576483178</v>
      </c>
      <c r="R388" s="167">
        <v>54576.700241223887</v>
      </c>
      <c r="S388" s="167">
        <v>55017.305260921567</v>
      </c>
      <c r="T388" s="167">
        <v>55450.275591975376</v>
      </c>
      <c r="U388" s="167">
        <v>55874.756608548967</v>
      </c>
      <c r="V388" s="167">
        <v>56289.849278475558</v>
      </c>
      <c r="W388" s="167">
        <v>56694.608268041418</v>
      </c>
      <c r="X388" s="167">
        <v>40635.956616221978</v>
      </c>
      <c r="Y388"/>
      <c r="Z388"/>
      <c r="AA388"/>
      <c r="AB388"/>
      <c r="AC388"/>
      <c r="AD388"/>
      <c r="AE388"/>
      <c r="AF388"/>
      <c r="AG388"/>
    </row>
    <row r="389" spans="1:33" ht="12.75">
      <c r="A389" s="168" t="s">
        <v>431</v>
      </c>
      <c r="B389" s="581">
        <f>NPV(0.1,D389:Y389)</f>
        <v>190241.95896853833</v>
      </c>
      <c r="C389" s="581">
        <f>B389-B379</f>
        <v>664.93766239457182</v>
      </c>
      <c r="D389" s="585">
        <v>19616.356898152342</v>
      </c>
      <c r="E389" s="586">
        <v>21672.105733556647</v>
      </c>
      <c r="F389" s="586">
        <v>21754.286106707834</v>
      </c>
      <c r="G389" s="586">
        <v>21839.452096745801</v>
      </c>
      <c r="H389" s="586">
        <v>21967.787744204968</v>
      </c>
      <c r="I389" s="586">
        <v>22118.844440292036</v>
      </c>
      <c r="J389" s="586">
        <v>22231.541391336425</v>
      </c>
      <c r="K389" s="586">
        <v>22342.959101828445</v>
      </c>
      <c r="L389" s="586">
        <v>22458.684219491479</v>
      </c>
      <c r="M389" s="586">
        <v>22578.817343906649</v>
      </c>
      <c r="N389" s="586">
        <v>22698.085937613501</v>
      </c>
      <c r="O389" s="587">
        <v>23604.441487135875</v>
      </c>
      <c r="P389" s="167">
        <v>23673.466245685333</v>
      </c>
      <c r="Q389" s="167">
        <v>23731.15382342934</v>
      </c>
      <c r="R389" s="167">
        <v>23793.981934495598</v>
      </c>
      <c r="S389" s="167">
        <v>23866.365020883724</v>
      </c>
      <c r="T389" s="167">
        <v>23915.861087606736</v>
      </c>
      <c r="U389" s="167">
        <v>23954.658745740569</v>
      </c>
      <c r="V389" s="167">
        <v>23999.226249945372</v>
      </c>
      <c r="W389" s="167">
        <v>24147.537900949937</v>
      </c>
      <c r="X389" s="167">
        <v>7572.7840097023727</v>
      </c>
      <c r="Y389"/>
      <c r="Z389"/>
      <c r="AA389"/>
      <c r="AB389"/>
      <c r="AC389"/>
      <c r="AD389"/>
      <c r="AE389"/>
      <c r="AF389"/>
      <c r="AG389"/>
    </row>
    <row r="390" spans="1:33" ht="12.75">
      <c r="A390" s="168" t="s">
        <v>34</v>
      </c>
      <c r="B390" s="581">
        <f>NPV(0.1,D390:Y390)</f>
        <v>80574.503909852734</v>
      </c>
      <c r="C390" s="581">
        <f>B390-B380</f>
        <v>0</v>
      </c>
      <c r="D390" s="585">
        <v>1978.2473903321572</v>
      </c>
      <c r="E390" s="586">
        <v>3983.3272241673608</v>
      </c>
      <c r="F390" s="586">
        <v>4204.8776182539123</v>
      </c>
      <c r="G390" s="586">
        <v>4443.2168772310988</v>
      </c>
      <c r="H390" s="586">
        <v>7101.6762054948604</v>
      </c>
      <c r="I390" s="586">
        <v>10022.589428599889</v>
      </c>
      <c r="J390" s="586">
        <v>10568.017962436788</v>
      </c>
      <c r="K390" s="586">
        <v>11016.239859375148</v>
      </c>
      <c r="L390" s="586">
        <v>11839.144752020011</v>
      </c>
      <c r="M390" s="586">
        <v>12353.290945329583</v>
      </c>
      <c r="N390" s="586">
        <v>13271.679536732316</v>
      </c>
      <c r="O390" s="587">
        <v>13377.0526352381</v>
      </c>
      <c r="P390" s="167">
        <v>14422.795832947215</v>
      </c>
      <c r="Q390" s="167">
        <v>15139.356653385263</v>
      </c>
      <c r="R390" s="167">
        <v>15894.269253514456</v>
      </c>
      <c r="S390" s="167">
        <v>16716.177839326163</v>
      </c>
      <c r="T390" s="167">
        <v>16984.412733528232</v>
      </c>
      <c r="U390" s="167">
        <v>17225.54920078774</v>
      </c>
      <c r="V390" s="167">
        <v>17457.208481743859</v>
      </c>
      <c r="W390" s="167">
        <v>17617.544166199979</v>
      </c>
      <c r="X390" s="167">
        <v>17940.22096320743</v>
      </c>
      <c r="Y390"/>
      <c r="Z390"/>
      <c r="AA390"/>
      <c r="AB390"/>
      <c r="AC390"/>
      <c r="AD390"/>
      <c r="AE390"/>
      <c r="AF390"/>
      <c r="AG390"/>
    </row>
    <row r="391" spans="1:33" ht="12.75">
      <c r="A391" s="168" t="s">
        <v>31</v>
      </c>
      <c r="B391" s="581">
        <f>NPV(0.1,D391:Y391)</f>
        <v>91286.139618341767</v>
      </c>
      <c r="C391" s="581">
        <f>B391-B381</f>
        <v>0</v>
      </c>
      <c r="D391" s="588">
        <v>3222.4132979202309</v>
      </c>
      <c r="E391" s="589">
        <v>6934.4880381637613</v>
      </c>
      <c r="F391" s="589">
        <v>6375.5536764616263</v>
      </c>
      <c r="G391" s="589">
        <v>6366.3246455056642</v>
      </c>
      <c r="H391" s="589">
        <v>13739.249051771863</v>
      </c>
      <c r="I391" s="589">
        <v>12156.157673968206</v>
      </c>
      <c r="J391" s="589">
        <v>11638.395431132954</v>
      </c>
      <c r="K391" s="589">
        <v>11554.684561450971</v>
      </c>
      <c r="L391" s="589">
        <v>11574.358376954297</v>
      </c>
      <c r="M391" s="589">
        <v>11455.490305811627</v>
      </c>
      <c r="N391" s="589">
        <v>11434.605433927816</v>
      </c>
      <c r="O391" s="590">
        <v>11877.030731841263</v>
      </c>
      <c r="P391" s="167">
        <v>10996.340699476827</v>
      </c>
      <c r="Q391" s="167">
        <v>10784.200316036658</v>
      </c>
      <c r="R391" s="167">
        <v>10546.509688382694</v>
      </c>
      <c r="S391" s="167">
        <v>21059.525528757884</v>
      </c>
      <c r="T391" s="167">
        <v>19585.17879020387</v>
      </c>
      <c r="U391" s="167">
        <v>19809.974203938462</v>
      </c>
      <c r="V391" s="167">
        <v>20041.633484894577</v>
      </c>
      <c r="W391" s="167">
        <v>20300.01549050022</v>
      </c>
      <c r="X391" s="167">
        <v>20344.894377584031</v>
      </c>
      <c r="Y391"/>
      <c r="Z391"/>
      <c r="AA391"/>
      <c r="AB391"/>
      <c r="AC391"/>
      <c r="AD391"/>
      <c r="AE391"/>
      <c r="AF391"/>
      <c r="AG391"/>
    </row>
    <row r="392" spans="1:33" ht="12.75">
      <c r="A392" s="163"/>
      <c r="B392" s="163"/>
      <c r="C392" s="163"/>
      <c r="D392"/>
      <c r="E392"/>
      <c r="F392"/>
      <c r="G392"/>
      <c r="H392"/>
      <c r="I392"/>
      <c r="J392"/>
      <c r="K392"/>
      <c r="L392"/>
      <c r="M392"/>
      <c r="N392"/>
      <c r="O392"/>
      <c r="P392"/>
      <c r="Q392"/>
      <c r="R392"/>
      <c r="S392"/>
      <c r="T392"/>
      <c r="U392"/>
      <c r="V392"/>
      <c r="W392"/>
      <c r="X392"/>
      <c r="Y392"/>
      <c r="Z392"/>
      <c r="AA392"/>
      <c r="AB392"/>
      <c r="AC392"/>
      <c r="AD392"/>
      <c r="AE392"/>
      <c r="AF392"/>
      <c r="AG392"/>
    </row>
    <row r="393" spans="1:33" ht="12.75">
      <c r="A393" s="169" t="s">
        <v>654</v>
      </c>
      <c r="B393" s="163"/>
      <c r="C393" s="163"/>
      <c r="D393"/>
      <c r="E393"/>
      <c r="F393"/>
      <c r="G393"/>
      <c r="H393"/>
      <c r="I393"/>
      <c r="J393"/>
      <c r="K393"/>
      <c r="L393"/>
      <c r="M393"/>
      <c r="N393"/>
      <c r="O393"/>
      <c r="P393"/>
      <c r="Q393"/>
      <c r="R393"/>
      <c r="S393"/>
      <c r="T393"/>
      <c r="U393"/>
      <c r="V393"/>
      <c r="W393"/>
      <c r="X393"/>
      <c r="Y393"/>
      <c r="Z393"/>
      <c r="AA393"/>
      <c r="AB393"/>
      <c r="AC393"/>
      <c r="AD393"/>
      <c r="AE393"/>
      <c r="AF393"/>
      <c r="AG393"/>
    </row>
    <row r="394" spans="1:33" ht="12.75">
      <c r="A394" s="416">
        <v>36285</v>
      </c>
      <c r="B394" s="163"/>
      <c r="C394" s="163"/>
      <c r="D394"/>
      <c r="E394"/>
      <c r="F394"/>
      <c r="G394"/>
      <c r="H394"/>
      <c r="I394"/>
      <c r="J394"/>
      <c r="K394"/>
      <c r="L394"/>
      <c r="M394"/>
      <c r="N394"/>
      <c r="O394"/>
      <c r="P394"/>
      <c r="Q394"/>
      <c r="R394"/>
      <c r="S394"/>
      <c r="T394"/>
      <c r="U394"/>
      <c r="V394"/>
      <c r="W394"/>
      <c r="X394"/>
      <c r="Y394"/>
      <c r="Z394"/>
      <c r="AA394"/>
      <c r="AB394"/>
      <c r="AC394"/>
      <c r="AD394"/>
      <c r="AE394"/>
      <c r="AF394"/>
      <c r="AG394"/>
    </row>
    <row r="395" spans="1:33" ht="12.75">
      <c r="A395" s="164" t="s">
        <v>427</v>
      </c>
      <c r="B395" s="172">
        <v>27071.401030858353</v>
      </c>
      <c r="C395" s="163"/>
      <c r="D395"/>
      <c r="E395"/>
      <c r="F395"/>
      <c r="G395"/>
      <c r="H395"/>
      <c r="I395"/>
      <c r="J395"/>
      <c r="K395"/>
      <c r="L395"/>
      <c r="M395"/>
      <c r="N395"/>
      <c r="O395"/>
      <c r="P395"/>
      <c r="Q395"/>
      <c r="R395"/>
      <c r="S395"/>
      <c r="T395"/>
      <c r="U395"/>
      <c r="V395"/>
      <c r="W395"/>
      <c r="X395"/>
      <c r="Y395"/>
      <c r="Z395"/>
      <c r="AA395"/>
      <c r="AB395"/>
      <c r="AC395"/>
      <c r="AD395"/>
      <c r="AE395"/>
      <c r="AF395"/>
      <c r="AG395"/>
    </row>
    <row r="396" spans="1:33" ht="12.75">
      <c r="A396" s="165" t="s">
        <v>428</v>
      </c>
      <c r="B396" s="173">
        <v>56419.774723285875</v>
      </c>
      <c r="C396" s="163"/>
      <c r="D396"/>
      <c r="E396"/>
      <c r="F396"/>
      <c r="G396"/>
      <c r="H396"/>
      <c r="I396"/>
      <c r="J396"/>
      <c r="K396"/>
      <c r="L396"/>
      <c r="M396"/>
      <c r="N396"/>
      <c r="O396"/>
      <c r="P396"/>
      <c r="Q396"/>
      <c r="R396"/>
      <c r="S396"/>
      <c r="T396"/>
      <c r="U396"/>
      <c r="V396"/>
      <c r="W396"/>
      <c r="X396"/>
      <c r="Y396"/>
      <c r="Z396"/>
      <c r="AA396"/>
      <c r="AB396"/>
      <c r="AC396"/>
      <c r="AD396"/>
      <c r="AE396"/>
      <c r="AF396"/>
      <c r="AG396"/>
    </row>
    <row r="397" spans="1:33" ht="12.75">
      <c r="A397" s="166" t="s">
        <v>429</v>
      </c>
      <c r="B397" s="580" t="s">
        <v>499</v>
      </c>
      <c r="C397" s="580" t="s">
        <v>500</v>
      </c>
      <c r="D397" s="582">
        <v>1999</v>
      </c>
      <c r="E397" s="583">
        <v>2000</v>
      </c>
      <c r="F397" s="583">
        <v>2001</v>
      </c>
      <c r="G397" s="583">
        <v>2002</v>
      </c>
      <c r="H397" s="583">
        <v>2003</v>
      </c>
      <c r="I397" s="583">
        <v>2004</v>
      </c>
      <c r="J397" s="583">
        <v>2005</v>
      </c>
      <c r="K397" s="583">
        <v>2006</v>
      </c>
      <c r="L397" s="583">
        <v>2007</v>
      </c>
      <c r="M397" s="583">
        <v>2008</v>
      </c>
      <c r="N397" s="583">
        <v>2009</v>
      </c>
      <c r="O397" s="584">
        <v>2010</v>
      </c>
      <c r="P397" s="171">
        <v>2011</v>
      </c>
      <c r="Q397" s="171">
        <v>2012</v>
      </c>
      <c r="R397" s="171">
        <v>2013</v>
      </c>
      <c r="S397" s="171">
        <v>2014</v>
      </c>
      <c r="T397" s="171">
        <v>2015</v>
      </c>
      <c r="U397" s="171">
        <v>2016</v>
      </c>
      <c r="V397" s="171">
        <v>2017</v>
      </c>
      <c r="W397" s="171">
        <v>2018</v>
      </c>
      <c r="X397" s="171">
        <v>2019</v>
      </c>
      <c r="Y397"/>
      <c r="Z397"/>
      <c r="AA397"/>
      <c r="AB397"/>
      <c r="AC397"/>
      <c r="AD397"/>
      <c r="AE397"/>
      <c r="AF397"/>
      <c r="AG397"/>
    </row>
    <row r="398" spans="1:33" ht="12.75">
      <c r="A398" s="166" t="s">
        <v>430</v>
      </c>
      <c r="B398" s="581">
        <f>NPV(0.1,D398:Y398)</f>
        <v>394042.51804271113</v>
      </c>
      <c r="C398" s="581">
        <f>B398-B388</f>
        <v>-2025.3183189082192</v>
      </c>
      <c r="D398" s="585">
        <v>27166.178482499996</v>
      </c>
      <c r="E398" s="586">
        <v>40164.346519604071</v>
      </c>
      <c r="F398" s="586">
        <v>40221.122864717196</v>
      </c>
      <c r="G398" s="586">
        <v>40279.602500183712</v>
      </c>
      <c r="H398" s="586">
        <v>43743.734342428506</v>
      </c>
      <c r="I398" s="586">
        <v>48837.313135831559</v>
      </c>
      <c r="J398" s="586">
        <v>49268.099019980073</v>
      </c>
      <c r="K398" s="586">
        <v>49695.826515746608</v>
      </c>
      <c r="L398" s="586">
        <v>50685.09996484001</v>
      </c>
      <c r="M398" s="586">
        <v>51121.9207985295</v>
      </c>
      <c r="N398" s="586">
        <v>52153.977076106385</v>
      </c>
      <c r="O398" s="587">
        <v>52599.412456264276</v>
      </c>
      <c r="P398" s="167">
        <v>53675.793483573216</v>
      </c>
      <c r="Q398" s="167">
        <v>54129.272576483178</v>
      </c>
      <c r="R398" s="167">
        <v>54576.700241223887</v>
      </c>
      <c r="S398" s="167">
        <v>55017.305260921567</v>
      </c>
      <c r="T398" s="167">
        <v>55450.275591975376</v>
      </c>
      <c r="U398" s="167">
        <v>55874.756608548967</v>
      </c>
      <c r="V398" s="167">
        <v>56289.849278475558</v>
      </c>
      <c r="W398" s="167">
        <v>56694.608268041418</v>
      </c>
      <c r="X398" s="167">
        <v>40635.956616221978</v>
      </c>
      <c r="Y398"/>
      <c r="Z398"/>
      <c r="AA398"/>
      <c r="AB398"/>
      <c r="AC398"/>
      <c r="AD398"/>
      <c r="AE398"/>
      <c r="AF398"/>
      <c r="AG398"/>
    </row>
    <row r="399" spans="1:33" ht="12.75">
      <c r="A399" s="168" t="s">
        <v>431</v>
      </c>
      <c r="B399" s="581">
        <f>NPV(0.1,D399:Y399)</f>
        <v>190113.72489493486</v>
      </c>
      <c r="C399" s="581">
        <f>B399-B389</f>
        <v>-128.23407360346755</v>
      </c>
      <c r="D399" s="585">
        <v>19471.823930488863</v>
      </c>
      <c r="E399" s="586">
        <v>21673.673628894911</v>
      </c>
      <c r="F399" s="586">
        <v>21755.839480528241</v>
      </c>
      <c r="G399" s="586">
        <v>21840.989768615862</v>
      </c>
      <c r="H399" s="586">
        <v>21962.648063851102</v>
      </c>
      <c r="I399" s="586">
        <v>22119.432718643049</v>
      </c>
      <c r="J399" s="586">
        <v>22232.129669687438</v>
      </c>
      <c r="K399" s="586">
        <v>22343.547380179458</v>
      </c>
      <c r="L399" s="586">
        <v>22459.272497842496</v>
      </c>
      <c r="M399" s="586">
        <v>22579.405622257666</v>
      </c>
      <c r="N399" s="586">
        <v>22698.674215964518</v>
      </c>
      <c r="O399" s="587">
        <v>23605.029765486892</v>
      </c>
      <c r="P399" s="167">
        <v>23674.054524036346</v>
      </c>
      <c r="Q399" s="167">
        <v>23731.742101780357</v>
      </c>
      <c r="R399" s="167">
        <v>23794.570212846615</v>
      </c>
      <c r="S399" s="167">
        <v>23866.93408223474</v>
      </c>
      <c r="T399" s="167">
        <v>23916.430148957752</v>
      </c>
      <c r="U399" s="167">
        <v>23955.227807091585</v>
      </c>
      <c r="V399" s="167">
        <v>23999.795311296388</v>
      </c>
      <c r="W399" s="167">
        <v>24148.106962300953</v>
      </c>
      <c r="X399" s="167">
        <v>7573.3530710533887</v>
      </c>
      <c r="Y399"/>
      <c r="Z399"/>
      <c r="AA399"/>
      <c r="AB399"/>
      <c r="AC399"/>
      <c r="AD399"/>
      <c r="AE399"/>
      <c r="AF399"/>
      <c r="AG399"/>
    </row>
    <row r="400" spans="1:33" ht="12.75">
      <c r="A400" s="168" t="s">
        <v>34</v>
      </c>
      <c r="B400" s="581">
        <f>NPV(0.1,D400:Y400)</f>
        <v>80001.651339687844</v>
      </c>
      <c r="C400" s="581">
        <f>B400-B390</f>
        <v>-572.85257016489049</v>
      </c>
      <c r="D400" s="585">
        <v>1617.1032615069498</v>
      </c>
      <c r="E400" s="586">
        <v>3991.9975403064582</v>
      </c>
      <c r="F400" s="586">
        <v>4214.2549121360171</v>
      </c>
      <c r="G400" s="586">
        <v>4453.356437324539</v>
      </c>
      <c r="H400" s="586">
        <v>6696.2471952466421</v>
      </c>
      <c r="I400" s="586">
        <v>10002.221850690414</v>
      </c>
      <c r="J400" s="586">
        <v>10567.722775981762</v>
      </c>
      <c r="K400" s="586">
        <v>11015.938857835925</v>
      </c>
      <c r="L400" s="586">
        <v>11838.837470189852</v>
      </c>
      <c r="M400" s="586">
        <v>12352.976880785216</v>
      </c>
      <c r="N400" s="586">
        <v>13271.358146856604</v>
      </c>
      <c r="O400" s="587">
        <v>13376.723334004539</v>
      </c>
      <c r="P400" s="167">
        <v>14422.457987447176</v>
      </c>
      <c r="Q400" s="167">
        <v>15139.009580077425</v>
      </c>
      <c r="R400" s="167">
        <v>15893.912214174195</v>
      </c>
      <c r="S400" s="167">
        <v>16711.075452499608</v>
      </c>
      <c r="T400" s="167">
        <v>16984.056945701675</v>
      </c>
      <c r="U400" s="167">
        <v>17225.193412961184</v>
      </c>
      <c r="V400" s="167">
        <v>17456.852693917303</v>
      </c>
      <c r="W400" s="167">
        <v>17617.188378373423</v>
      </c>
      <c r="X400" s="167">
        <v>17939.865175380874</v>
      </c>
      <c r="Y400"/>
      <c r="Z400"/>
      <c r="AA400"/>
      <c r="AB400"/>
      <c r="AC400"/>
      <c r="AD400"/>
      <c r="AE400"/>
      <c r="AF400"/>
      <c r="AG400"/>
    </row>
    <row r="401" spans="1:33" ht="12.75">
      <c r="A401" s="168" t="s">
        <v>31</v>
      </c>
      <c r="B401" s="581">
        <f>NPV(0.1,D401:Y401)</f>
        <v>90864.844860661091</v>
      </c>
      <c r="C401" s="581">
        <f>B401-B391</f>
        <v>-421.29475768067641</v>
      </c>
      <c r="D401" s="588">
        <v>2660.9642825705168</v>
      </c>
      <c r="E401" s="589">
        <v>6933.9458076926103</v>
      </c>
      <c r="F401" s="589">
        <v>6375.0164680154012</v>
      </c>
      <c r="G401" s="589">
        <v>6365.7928673172664</v>
      </c>
      <c r="H401" s="589">
        <v>13330.021309945383</v>
      </c>
      <c r="I401" s="589">
        <v>12766.792686891167</v>
      </c>
      <c r="J401" s="589">
        <v>11638.217958932919</v>
      </c>
      <c r="K401" s="589">
        <v>11554.510691307138</v>
      </c>
      <c r="L401" s="589">
        <v>11574.188397031161</v>
      </c>
      <c r="M401" s="589">
        <v>11455.324527326844</v>
      </c>
      <c r="N401" s="589">
        <v>11434.44419299646</v>
      </c>
      <c r="O401" s="590">
        <v>11876.874391467602</v>
      </c>
      <c r="P401" s="167">
        <v>10996.189651705474</v>
      </c>
      <c r="Q401" s="167">
        <v>10784.054984275808</v>
      </c>
      <c r="R401" s="167">
        <v>10546.37052991318</v>
      </c>
      <c r="S401" s="167">
        <v>21062.109941931332</v>
      </c>
      <c r="T401" s="167">
        <v>19584.823002377314</v>
      </c>
      <c r="U401" s="167">
        <v>19809.618416111902</v>
      </c>
      <c r="V401" s="167">
        <v>20041.277697068028</v>
      </c>
      <c r="W401" s="167">
        <v>20299.659702673664</v>
      </c>
      <c r="X401" s="167">
        <v>20344.538589757474</v>
      </c>
      <c r="Y401"/>
      <c r="Z401"/>
      <c r="AA401"/>
      <c r="AB401"/>
      <c r="AC401"/>
      <c r="AD401"/>
      <c r="AE401"/>
      <c r="AF401"/>
      <c r="AG401"/>
    </row>
    <row r="402" spans="1:33" ht="12.75">
      <c r="A402" s="163"/>
      <c r="B402" s="163"/>
      <c r="C402" s="163"/>
      <c r="D402"/>
      <c r="E402"/>
      <c r="F402"/>
      <c r="G402"/>
      <c r="H402"/>
      <c r="I402"/>
      <c r="J402"/>
      <c r="K402"/>
      <c r="L402"/>
      <c r="M402"/>
      <c r="N402"/>
      <c r="O402"/>
      <c r="P402"/>
      <c r="Q402"/>
      <c r="R402"/>
      <c r="S402"/>
      <c r="T402"/>
      <c r="U402"/>
      <c r="V402"/>
      <c r="W402"/>
      <c r="X402"/>
      <c r="Y402"/>
      <c r="Z402"/>
      <c r="AA402"/>
      <c r="AB402"/>
      <c r="AC402"/>
      <c r="AD402"/>
      <c r="AE402"/>
      <c r="AF402"/>
      <c r="AG402"/>
    </row>
    <row r="403" spans="1:33" ht="12.75">
      <c r="A403" s="169" t="s">
        <v>656</v>
      </c>
      <c r="B403" s="163"/>
      <c r="C403" s="163"/>
      <c r="D403"/>
      <c r="E403"/>
      <c r="F403"/>
      <c r="G403"/>
      <c r="H403"/>
      <c r="I403"/>
      <c r="J403"/>
      <c r="K403"/>
      <c r="L403"/>
      <c r="M403"/>
      <c r="N403"/>
      <c r="O403"/>
      <c r="P403"/>
      <c r="Q403"/>
      <c r="R403"/>
      <c r="S403"/>
      <c r="T403"/>
      <c r="U403"/>
      <c r="V403"/>
      <c r="W403"/>
      <c r="X403"/>
      <c r="Y403"/>
      <c r="Z403"/>
      <c r="AA403"/>
      <c r="AB403"/>
      <c r="AC403"/>
      <c r="AD403"/>
      <c r="AE403"/>
      <c r="AF403"/>
      <c r="AG403"/>
    </row>
    <row r="404" spans="1:33" ht="12.75">
      <c r="A404" s="416">
        <v>36285</v>
      </c>
      <c r="B404" s="163"/>
      <c r="C404" s="163"/>
      <c r="D404"/>
      <c r="E404"/>
      <c r="F404"/>
      <c r="G404"/>
      <c r="H404"/>
      <c r="I404"/>
      <c r="J404"/>
      <c r="K404"/>
      <c r="L404"/>
      <c r="M404"/>
      <c r="N404"/>
      <c r="O404"/>
      <c r="P404"/>
      <c r="Q404"/>
      <c r="R404"/>
      <c r="S404"/>
      <c r="T404"/>
      <c r="U404"/>
      <c r="V404"/>
      <c r="W404"/>
      <c r="X404"/>
      <c r="Y404"/>
      <c r="Z404"/>
      <c r="AA404"/>
      <c r="AB404"/>
      <c r="AC404"/>
      <c r="AD404"/>
      <c r="AE404"/>
      <c r="AF404"/>
      <c r="AG404"/>
    </row>
    <row r="405" spans="1:33" ht="12.75">
      <c r="A405" s="164" t="s">
        <v>427</v>
      </c>
      <c r="B405" s="172">
        <v>24932.634375700978</v>
      </c>
      <c r="C405" s="163"/>
      <c r="D405"/>
      <c r="E405"/>
      <c r="F405"/>
      <c r="G405"/>
      <c r="H405"/>
      <c r="I405"/>
      <c r="J405"/>
      <c r="K405"/>
      <c r="L405"/>
      <c r="M405"/>
      <c r="N405"/>
      <c r="O405"/>
      <c r="P405"/>
      <c r="Q405"/>
      <c r="R405"/>
      <c r="S405"/>
      <c r="T405"/>
      <c r="U405"/>
      <c r="V405"/>
      <c r="W405"/>
      <c r="X405"/>
      <c r="Y405"/>
      <c r="Z405"/>
      <c r="AA405"/>
      <c r="AB405"/>
      <c r="AC405"/>
      <c r="AD405"/>
      <c r="AE405"/>
      <c r="AF405"/>
      <c r="AG405"/>
    </row>
    <row r="406" spans="1:33" ht="12.75">
      <c r="A406" s="165" t="s">
        <v>428</v>
      </c>
      <c r="B406" s="173">
        <v>53822.198895911897</v>
      </c>
      <c r="C406" s="163"/>
      <c r="D406"/>
      <c r="E406"/>
      <c r="F406"/>
      <c r="G406"/>
      <c r="H406"/>
      <c r="I406"/>
      <c r="J406"/>
      <c r="K406"/>
      <c r="L406"/>
      <c r="M406"/>
      <c r="N406"/>
      <c r="O406"/>
      <c r="P406"/>
      <c r="Q406"/>
      <c r="R406"/>
      <c r="S406"/>
      <c r="T406"/>
      <c r="U406"/>
      <c r="V406"/>
      <c r="W406"/>
      <c r="X406"/>
      <c r="Y406"/>
      <c r="Z406"/>
      <c r="AA406"/>
      <c r="AB406"/>
      <c r="AC406"/>
      <c r="AD406"/>
      <c r="AE406"/>
      <c r="AF406"/>
      <c r="AG406"/>
    </row>
    <row r="407" spans="1:33" ht="12.75">
      <c r="A407" s="166" t="s">
        <v>429</v>
      </c>
      <c r="B407" s="580" t="s">
        <v>499</v>
      </c>
      <c r="C407" s="580" t="s">
        <v>500</v>
      </c>
      <c r="D407" s="582">
        <v>1999</v>
      </c>
      <c r="E407" s="583">
        <v>2000</v>
      </c>
      <c r="F407" s="583">
        <v>2001</v>
      </c>
      <c r="G407" s="583">
        <v>2002</v>
      </c>
      <c r="H407" s="583">
        <v>2003</v>
      </c>
      <c r="I407" s="583">
        <v>2004</v>
      </c>
      <c r="J407" s="583">
        <v>2005</v>
      </c>
      <c r="K407" s="583">
        <v>2006</v>
      </c>
      <c r="L407" s="583">
        <v>2007</v>
      </c>
      <c r="M407" s="583">
        <v>2008</v>
      </c>
      <c r="N407" s="583">
        <v>2009</v>
      </c>
      <c r="O407" s="584">
        <v>2010</v>
      </c>
      <c r="P407" s="171">
        <v>2011</v>
      </c>
      <c r="Q407" s="171">
        <v>2012</v>
      </c>
      <c r="R407" s="171">
        <v>2013</v>
      </c>
      <c r="S407" s="171">
        <v>2014</v>
      </c>
      <c r="T407" s="171">
        <v>2015</v>
      </c>
      <c r="U407" s="171">
        <v>2016</v>
      </c>
      <c r="V407" s="171">
        <v>2017</v>
      </c>
      <c r="W407" s="171">
        <v>2018</v>
      </c>
      <c r="X407" s="171">
        <v>2019</v>
      </c>
      <c r="Y407"/>
      <c r="Z407"/>
      <c r="AA407"/>
      <c r="AB407"/>
      <c r="AC407"/>
      <c r="AD407"/>
      <c r="AE407"/>
      <c r="AF407"/>
      <c r="AG407"/>
    </row>
    <row r="408" spans="1:33" ht="12.75">
      <c r="A408" s="166" t="s">
        <v>430</v>
      </c>
      <c r="B408" s="581">
        <f>NPV(0.1,D408:Y408)</f>
        <v>394042.51804271113</v>
      </c>
      <c r="C408" s="581">
        <f>B408-B398</f>
        <v>0</v>
      </c>
      <c r="D408" s="585">
        <v>27166.178482499996</v>
      </c>
      <c r="E408" s="586">
        <v>40164.346519604071</v>
      </c>
      <c r="F408" s="586">
        <v>40221.122864717196</v>
      </c>
      <c r="G408" s="586">
        <v>40279.602500183712</v>
      </c>
      <c r="H408" s="586">
        <v>43743.734342428506</v>
      </c>
      <c r="I408" s="586">
        <v>48837.313135831559</v>
      </c>
      <c r="J408" s="586">
        <v>49268.099019980073</v>
      </c>
      <c r="K408" s="586">
        <v>49695.826515746608</v>
      </c>
      <c r="L408" s="586">
        <v>50685.09996484001</v>
      </c>
      <c r="M408" s="586">
        <v>51121.9207985295</v>
      </c>
      <c r="N408" s="586">
        <v>52153.977076106385</v>
      </c>
      <c r="O408" s="587">
        <v>52599.412456264276</v>
      </c>
      <c r="P408" s="167">
        <v>53675.793483573216</v>
      </c>
      <c r="Q408" s="167">
        <v>54129.272576483178</v>
      </c>
      <c r="R408" s="167">
        <v>54576.700241223887</v>
      </c>
      <c r="S408" s="167">
        <v>55017.305260921567</v>
      </c>
      <c r="T408" s="167">
        <v>55450.275591975376</v>
      </c>
      <c r="U408" s="167">
        <v>55874.756608548967</v>
      </c>
      <c r="V408" s="167">
        <v>56289.849278475558</v>
      </c>
      <c r="W408" s="167">
        <v>56694.608268041418</v>
      </c>
      <c r="X408" s="167">
        <v>40635.956616221978</v>
      </c>
      <c r="Y408"/>
      <c r="Z408"/>
      <c r="AA408"/>
      <c r="AB408"/>
      <c r="AC408"/>
      <c r="AD408"/>
      <c r="AE408"/>
      <c r="AF408"/>
      <c r="AG408"/>
    </row>
    <row r="409" spans="1:33" ht="12.75">
      <c r="A409" s="168" t="s">
        <v>431</v>
      </c>
      <c r="B409" s="581">
        <f>NPV(0.1,D409:Y409)</f>
        <v>190154.82629903476</v>
      </c>
      <c r="C409" s="581">
        <f>B409-B399</f>
        <v>41.10140409989981</v>
      </c>
      <c r="D409" s="585">
        <v>19471.823215920725</v>
      </c>
      <c r="E409" s="586">
        <v>21681.120465088035</v>
      </c>
      <c r="F409" s="586">
        <v>21763.15292230354</v>
      </c>
      <c r="G409" s="586">
        <v>21848.169929079024</v>
      </c>
      <c r="H409" s="586">
        <v>21969.695034786844</v>
      </c>
      <c r="I409" s="586">
        <v>22125.238133018051</v>
      </c>
      <c r="J409" s="586">
        <v>22237.617423437438</v>
      </c>
      <c r="K409" s="586">
        <v>22348.726940179458</v>
      </c>
      <c r="L409" s="586">
        <v>22464.143577217495</v>
      </c>
      <c r="M409" s="586">
        <v>22583.968507882666</v>
      </c>
      <c r="N409" s="586">
        <v>22702.928620964518</v>
      </c>
      <c r="O409" s="587">
        <v>23608.975976736892</v>
      </c>
      <c r="P409" s="167">
        <v>23677.692254661346</v>
      </c>
      <c r="Q409" s="167">
        <v>23735.071638655358</v>
      </c>
      <c r="R409" s="167">
        <v>23797.591269096614</v>
      </c>
      <c r="S409" s="167">
        <v>23869.646944734741</v>
      </c>
      <c r="T409" s="167">
        <v>23918.919445832751</v>
      </c>
      <c r="U409" s="167">
        <v>23957.578166466585</v>
      </c>
      <c r="V409" s="167">
        <v>24002.006733171387</v>
      </c>
      <c r="W409" s="167">
        <v>24150.179446675953</v>
      </c>
      <c r="X409" s="167">
        <v>7575.2866179283883</v>
      </c>
      <c r="Y409"/>
      <c r="Z409"/>
      <c r="AA409"/>
      <c r="AB409"/>
      <c r="AC409"/>
      <c r="AD409"/>
      <c r="AE409"/>
      <c r="AF409"/>
      <c r="AG409"/>
    </row>
    <row r="410" spans="1:33" ht="12.75">
      <c r="A410" s="168" t="s">
        <v>34</v>
      </c>
      <c r="B410" s="581">
        <f>NPV(0.1,D410:Y410)</f>
        <v>79577.156699250525</v>
      </c>
      <c r="C410" s="581">
        <f>B410-B400</f>
        <v>-424.49464043731859</v>
      </c>
      <c r="D410" s="585">
        <v>1617.5646950487276</v>
      </c>
      <c r="E410" s="586">
        <v>3965.3275062364305</v>
      </c>
      <c r="F410" s="586">
        <v>4155.100457763936</v>
      </c>
      <c r="G410" s="586">
        <v>4394.128944770373</v>
      </c>
      <c r="H410" s="586">
        <v>6636.9604325616929</v>
      </c>
      <c r="I410" s="586">
        <v>9943.6276151547172</v>
      </c>
      <c r="J410" s="586">
        <v>10509.261266307549</v>
      </c>
      <c r="K410" s="586">
        <v>10957.605161607993</v>
      </c>
      <c r="L410" s="586">
        <v>11780.632666671152</v>
      </c>
      <c r="M410" s="586">
        <v>12294.901768180342</v>
      </c>
      <c r="N410" s="586">
        <v>13213.413954625899</v>
      </c>
      <c r="O410" s="587">
        <v>13318.911022565801</v>
      </c>
      <c r="P410" s="167">
        <v>14364.778961450997</v>
      </c>
      <c r="Q410" s="167">
        <v>15081.464989147069</v>
      </c>
      <c r="R410" s="167">
        <v>15836.50366730217</v>
      </c>
      <c r="S410" s="167">
        <v>16653.804319998435</v>
      </c>
      <c r="T410" s="167">
        <v>16926.925590621111</v>
      </c>
      <c r="U410" s="167">
        <v>17168.148924210698</v>
      </c>
      <c r="V410" s="167">
        <v>17399.895071496896</v>
      </c>
      <c r="W410" s="167">
        <v>17560.317622283095</v>
      </c>
      <c r="X410" s="167">
        <v>17883.081285620621</v>
      </c>
      <c r="Y410"/>
      <c r="Z410"/>
      <c r="AA410"/>
      <c r="AB410"/>
      <c r="AC410"/>
      <c r="AD410"/>
      <c r="AE410"/>
      <c r="AF410"/>
      <c r="AG410"/>
    </row>
    <row r="411" spans="1:33" ht="12.75">
      <c r="A411" s="168" t="s">
        <v>31</v>
      </c>
      <c r="B411" s="581">
        <f>NPV(0.1,D411:Y411)</f>
        <v>88863.271963345614</v>
      </c>
      <c r="C411" s="581">
        <f>B411-B401</f>
        <v>-2001.5728973154764</v>
      </c>
      <c r="D411" s="588">
        <v>2660.964529691998</v>
      </c>
      <c r="E411" s="589">
        <v>3931.3704435091549</v>
      </c>
      <c r="F411" s="589">
        <v>6372.4872360681084</v>
      </c>
      <c r="G411" s="589">
        <v>6363.3097284904215</v>
      </c>
      <c r="H411" s="589">
        <v>13325.705040247238</v>
      </c>
      <c r="I411" s="589">
        <v>13206.154709607919</v>
      </c>
      <c r="J411" s="589">
        <v>11708.133959680692</v>
      </c>
      <c r="K411" s="589">
        <v>11620.74953883496</v>
      </c>
      <c r="L411" s="589">
        <v>11640.651098518672</v>
      </c>
      <c r="M411" s="589">
        <v>11521.780912628679</v>
      </c>
      <c r="N411" s="589">
        <v>11501.123176254996</v>
      </c>
      <c r="O411" s="590">
        <v>11943.54570205725</v>
      </c>
      <c r="P411" s="167">
        <v>11063.082095249949</v>
      </c>
      <c r="Q411" s="167">
        <v>10850.938172949365</v>
      </c>
      <c r="R411" s="167">
        <v>10613.473142763378</v>
      </c>
      <c r="S411" s="167">
        <v>21128.116309430159</v>
      </c>
      <c r="T411" s="167">
        <v>19617.11789729675</v>
      </c>
      <c r="U411" s="167">
        <v>19808.148927361413</v>
      </c>
      <c r="V411" s="167">
        <v>20039.895074647611</v>
      </c>
      <c r="W411" s="167">
        <v>20298.363946583329</v>
      </c>
      <c r="X411" s="167">
        <v>20343.329699997223</v>
      </c>
      <c r="Y411"/>
      <c r="Z411"/>
      <c r="AA411"/>
      <c r="AB411"/>
      <c r="AC411"/>
      <c r="AD411"/>
      <c r="AE411"/>
      <c r="AF411"/>
      <c r="AG411"/>
    </row>
    <row r="412" spans="1:33" ht="12.75">
      <c r="A412" s="163"/>
      <c r="B412" s="163"/>
      <c r="C412" s="163"/>
      <c r="D412"/>
      <c r="E412"/>
      <c r="F412"/>
      <c r="G412"/>
      <c r="H412"/>
      <c r="I412"/>
      <c r="J412"/>
      <c r="K412"/>
      <c r="L412"/>
      <c r="M412"/>
      <c r="N412"/>
      <c r="O412"/>
      <c r="P412"/>
      <c r="Q412"/>
      <c r="R412"/>
      <c r="S412"/>
      <c r="T412"/>
      <c r="U412"/>
      <c r="V412"/>
      <c r="W412"/>
      <c r="X412"/>
      <c r="Y412"/>
      <c r="Z412"/>
      <c r="AA412"/>
      <c r="AB412"/>
      <c r="AC412"/>
      <c r="AD412"/>
      <c r="AE412"/>
      <c r="AF412"/>
      <c r="AG412"/>
    </row>
    <row r="413" spans="1:33" ht="12.75">
      <c r="A413" s="169" t="s">
        <v>659</v>
      </c>
      <c r="B413" s="163"/>
      <c r="C413" s="163"/>
      <c r="D413"/>
      <c r="E413"/>
      <c r="F413"/>
      <c r="G413"/>
      <c r="H413"/>
      <c r="I413"/>
      <c r="J413"/>
      <c r="K413"/>
      <c r="L413"/>
      <c r="M413"/>
      <c r="N413"/>
      <c r="O413"/>
      <c r="P413"/>
      <c r="Q413"/>
      <c r="R413"/>
      <c r="S413"/>
      <c r="T413"/>
      <c r="U413"/>
      <c r="V413"/>
      <c r="W413"/>
      <c r="X413"/>
      <c r="Y413"/>
      <c r="Z413"/>
      <c r="AA413"/>
      <c r="AB413"/>
      <c r="AC413"/>
      <c r="AD413"/>
      <c r="AE413"/>
      <c r="AF413"/>
      <c r="AG413"/>
    </row>
    <row r="414" spans="1:33" ht="12.75">
      <c r="A414" s="416">
        <v>36286</v>
      </c>
      <c r="B414" s="163"/>
      <c r="C414" s="163"/>
      <c r="D414"/>
      <c r="E414"/>
      <c r="F414"/>
      <c r="G414"/>
      <c r="H414"/>
      <c r="I414"/>
      <c r="J414"/>
      <c r="K414"/>
      <c r="L414"/>
      <c r="M414"/>
      <c r="N414"/>
      <c r="O414"/>
      <c r="P414"/>
      <c r="Q414"/>
      <c r="R414"/>
      <c r="S414"/>
      <c r="T414"/>
      <c r="U414"/>
      <c r="V414"/>
      <c r="W414"/>
      <c r="X414"/>
      <c r="Y414"/>
      <c r="Z414"/>
      <c r="AA414"/>
      <c r="AB414"/>
      <c r="AC414"/>
      <c r="AD414"/>
      <c r="AE414"/>
      <c r="AF414"/>
      <c r="AG414"/>
    </row>
    <row r="415" spans="1:33" ht="12.75">
      <c r="A415" s="164" t="s">
        <v>427</v>
      </c>
      <c r="B415" s="172">
        <v>20336.051471904659</v>
      </c>
      <c r="C415" s="163"/>
      <c r="D415"/>
      <c r="E415"/>
      <c r="F415"/>
      <c r="G415"/>
      <c r="H415"/>
      <c r="I415"/>
      <c r="J415"/>
      <c r="K415"/>
      <c r="L415"/>
      <c r="M415"/>
      <c r="N415"/>
      <c r="O415"/>
      <c r="P415"/>
      <c r="Q415"/>
      <c r="R415"/>
      <c r="S415"/>
      <c r="T415"/>
      <c r="U415"/>
      <c r="V415"/>
      <c r="W415"/>
      <c r="X415"/>
      <c r="Y415"/>
      <c r="Z415"/>
      <c r="AA415"/>
      <c r="AB415"/>
      <c r="AC415"/>
      <c r="AD415"/>
      <c r="AE415"/>
      <c r="AF415"/>
      <c r="AG415"/>
    </row>
    <row r="416" spans="1:33" ht="12.75">
      <c r="A416" s="165" t="s">
        <v>428</v>
      </c>
      <c r="B416" s="173">
        <v>47543.572821097048</v>
      </c>
      <c r="C416" s="163"/>
      <c r="D416"/>
      <c r="E416"/>
      <c r="F416"/>
      <c r="G416"/>
      <c r="H416"/>
      <c r="I416"/>
      <c r="J416"/>
      <c r="K416"/>
      <c r="L416"/>
      <c r="M416"/>
      <c r="N416"/>
      <c r="O416"/>
      <c r="P416"/>
      <c r="Q416"/>
      <c r="R416"/>
      <c r="S416"/>
      <c r="T416"/>
      <c r="U416"/>
      <c r="V416"/>
      <c r="W416"/>
      <c r="X416"/>
      <c r="Y416"/>
      <c r="Z416"/>
      <c r="AA416"/>
      <c r="AB416"/>
      <c r="AC416"/>
      <c r="AD416"/>
      <c r="AE416"/>
      <c r="AF416"/>
      <c r="AG416"/>
    </row>
    <row r="417" spans="1:33" ht="12.75">
      <c r="A417" s="166" t="s">
        <v>429</v>
      </c>
      <c r="B417" s="580" t="s">
        <v>499</v>
      </c>
      <c r="C417" s="580" t="s">
        <v>500</v>
      </c>
      <c r="D417" s="582">
        <v>1999</v>
      </c>
      <c r="E417" s="583">
        <v>2000</v>
      </c>
      <c r="F417" s="583">
        <v>2001</v>
      </c>
      <c r="G417" s="583">
        <v>2002</v>
      </c>
      <c r="H417" s="583">
        <v>2003</v>
      </c>
      <c r="I417" s="583">
        <v>2004</v>
      </c>
      <c r="J417" s="583">
        <v>2005</v>
      </c>
      <c r="K417" s="583">
        <v>2006</v>
      </c>
      <c r="L417" s="583">
        <v>2007</v>
      </c>
      <c r="M417" s="583">
        <v>2008</v>
      </c>
      <c r="N417" s="583">
        <v>2009</v>
      </c>
      <c r="O417" s="584">
        <v>2010</v>
      </c>
      <c r="P417" s="171">
        <v>2011</v>
      </c>
      <c r="Q417" s="171">
        <v>2012</v>
      </c>
      <c r="R417" s="171">
        <v>2013</v>
      </c>
      <c r="S417" s="171">
        <v>2014</v>
      </c>
      <c r="T417" s="171">
        <v>2015</v>
      </c>
      <c r="U417" s="171">
        <v>2016</v>
      </c>
      <c r="V417" s="171">
        <v>2017</v>
      </c>
      <c r="W417" s="171">
        <v>2018</v>
      </c>
      <c r="X417" s="171">
        <v>2019</v>
      </c>
      <c r="Y417"/>
      <c r="Z417"/>
      <c r="AA417"/>
      <c r="AB417"/>
      <c r="AC417"/>
      <c r="AD417"/>
      <c r="AE417"/>
      <c r="AF417"/>
      <c r="AG417"/>
    </row>
    <row r="418" spans="1:33" ht="12.75">
      <c r="A418" s="166" t="s">
        <v>430</v>
      </c>
      <c r="B418" s="581">
        <f>NPV(0.1,D418:Y418)</f>
        <v>387761.06039835484</v>
      </c>
      <c r="C418" s="581">
        <f>B418-B408</f>
        <v>-6281.4576443562983</v>
      </c>
      <c r="D418" s="585">
        <v>27166.178482499996</v>
      </c>
      <c r="E418" s="586">
        <v>40164.346519604071</v>
      </c>
      <c r="F418" s="586">
        <v>40221.122864717196</v>
      </c>
      <c r="G418" s="586">
        <v>40279.602500183712</v>
      </c>
      <c r="H418" s="586">
        <v>43321.89364044051</v>
      </c>
      <c r="I418" s="586">
        <v>47794.522920517222</v>
      </c>
      <c r="J418" s="586">
        <v>48194.025098206301</v>
      </c>
      <c r="K418" s="586">
        <v>48589.530376319635</v>
      </c>
      <c r="L418" s="586">
        <v>49545.614941230218</v>
      </c>
      <c r="M418" s="586">
        <v>49948.251224211417</v>
      </c>
      <c r="N418" s="586">
        <v>50945.097414558761</v>
      </c>
      <c r="O418" s="587">
        <v>51354.266404870228</v>
      </c>
      <c r="P418" s="167">
        <v>52393.293050637345</v>
      </c>
      <c r="Q418" s="167">
        <v>52808.297130559229</v>
      </c>
      <c r="R418" s="167">
        <v>53216.095531922219</v>
      </c>
      <c r="S418" s="167">
        <v>53615.882410340848</v>
      </c>
      <c r="T418" s="167">
        <v>54006.810055877235</v>
      </c>
      <c r="U418" s="167">
        <v>54387.98710636788</v>
      </c>
      <c r="V418" s="167">
        <v>54758.476691229043</v>
      </c>
      <c r="W418" s="167">
        <v>55117.294503177502</v>
      </c>
      <c r="X418" s="167">
        <v>39011.323438412146</v>
      </c>
      <c r="Y418"/>
      <c r="Z418"/>
      <c r="AA418"/>
      <c r="AB418"/>
      <c r="AC418"/>
      <c r="AD418"/>
      <c r="AE418"/>
      <c r="AF418"/>
      <c r="AG418"/>
    </row>
    <row r="419" spans="1:33" ht="12.75">
      <c r="A419" s="168" t="s">
        <v>431</v>
      </c>
      <c r="B419" s="581">
        <f>NPV(0.1,D419:Y419)</f>
        <v>190242.14186292645</v>
      </c>
      <c r="C419" s="581">
        <f>B419-B409</f>
        <v>87.315563891694183</v>
      </c>
      <c r="D419" s="585">
        <v>19471.74822775029</v>
      </c>
      <c r="E419" s="586">
        <v>21697.378448030289</v>
      </c>
      <c r="F419" s="586">
        <v>21779.722845090484</v>
      </c>
      <c r="G419" s="586">
        <v>21865.052328367768</v>
      </c>
      <c r="H419" s="586">
        <v>21982.708346975309</v>
      </c>
      <c r="I419" s="586">
        <v>22132.494410278498</v>
      </c>
      <c r="J419" s="586">
        <v>22245.091389015699</v>
      </c>
      <c r="K419" s="586">
        <v>22356.425124725065</v>
      </c>
      <c r="L419" s="586">
        <v>22472.07270729947</v>
      </c>
      <c r="M419" s="586">
        <v>22592.135511867098</v>
      </c>
      <c r="N419" s="586">
        <v>22711.340635068482</v>
      </c>
      <c r="O419" s="587">
        <v>23617.640351263977</v>
      </c>
      <c r="P419" s="167">
        <v>23686.616560424245</v>
      </c>
      <c r="Q419" s="167">
        <v>23744.263673591147</v>
      </c>
      <c r="R419" s="167">
        <v>23807.059065080473</v>
      </c>
      <c r="S419" s="167">
        <v>23879.398774598118</v>
      </c>
      <c r="T419" s="167">
        <v>23928.963830592027</v>
      </c>
      <c r="U419" s="167">
        <v>23967.923882768639</v>
      </c>
      <c r="V419" s="167">
        <v>24012.662820962505</v>
      </c>
      <c r="W419" s="167">
        <v>24161.155217100801</v>
      </c>
      <c r="X419" s="167">
        <v>7586.5916614659836</v>
      </c>
      <c r="Y419"/>
      <c r="Z419"/>
      <c r="AA419"/>
      <c r="AB419"/>
      <c r="AC419"/>
      <c r="AD419"/>
      <c r="AE419"/>
      <c r="AF419"/>
      <c r="AG419"/>
    </row>
    <row r="420" spans="1:33" ht="12.75">
      <c r="A420" s="168" t="s">
        <v>34</v>
      </c>
      <c r="B420" s="581">
        <f>NPV(0.1,D420:Y420)</f>
        <v>76453.530130371742</v>
      </c>
      <c r="C420" s="581">
        <f>B420-B410</f>
        <v>-3123.6265688787826</v>
      </c>
      <c r="D420" s="585">
        <v>1665.9884286377871</v>
      </c>
      <c r="E420" s="586">
        <v>4075.018747730503</v>
      </c>
      <c r="F420" s="586">
        <v>4273.3668141089565</v>
      </c>
      <c r="G420" s="586">
        <v>4521.6398145329877</v>
      </c>
      <c r="H420" s="586">
        <v>6518.0906469794663</v>
      </c>
      <c r="I420" s="586">
        <v>9443.7759697062538</v>
      </c>
      <c r="J420" s="586">
        <v>9981.498008306402</v>
      </c>
      <c r="K420" s="586">
        <v>10400.05965762246</v>
      </c>
      <c r="L420" s="586">
        <v>11191.295501462129</v>
      </c>
      <c r="M420" s="586">
        <v>11671.613968222828</v>
      </c>
      <c r="N420" s="586">
        <v>12553.855359294059</v>
      </c>
      <c r="O420" s="587">
        <v>12620.587735088353</v>
      </c>
      <c r="P420" s="167">
        <v>13625.009806320715</v>
      </c>
      <c r="Q420" s="167">
        <v>14297.366896812091</v>
      </c>
      <c r="R420" s="167">
        <v>15004.975900642297</v>
      </c>
      <c r="S420" s="167">
        <v>15771.511450259526</v>
      </c>
      <c r="T420" s="167">
        <v>16018.16393479004</v>
      </c>
      <c r="U420" s="167">
        <v>16232.12441870469</v>
      </c>
      <c r="V420" s="167">
        <v>16435.789830825706</v>
      </c>
      <c r="W420" s="167">
        <v>16567.289224391767</v>
      </c>
      <c r="X420" s="167">
        <v>16860.262035792563</v>
      </c>
      <c r="Y420"/>
      <c r="Z420"/>
      <c r="AA420"/>
      <c r="AB420"/>
      <c r="AC420"/>
      <c r="AD420"/>
      <c r="AE420"/>
      <c r="AF420"/>
      <c r="AG420"/>
    </row>
    <row r="421" spans="1:33" ht="12.75">
      <c r="A421" s="168" t="s">
        <v>31</v>
      </c>
      <c r="B421" s="581">
        <f>NPV(0.1,D421:Y421)</f>
        <v>86324.971079954295</v>
      </c>
      <c r="C421" s="581">
        <f>B421-B411</f>
        <v>-2538.3008833913191</v>
      </c>
      <c r="D421" s="588">
        <v>2660.9904631009399</v>
      </c>
      <c r="E421" s="589">
        <v>3925.7478910749587</v>
      </c>
      <c r="F421" s="589">
        <v>6366.7568044376239</v>
      </c>
      <c r="G421" s="589">
        <v>6357.4712320697336</v>
      </c>
      <c r="H421" s="589">
        <v>13059.356956564156</v>
      </c>
      <c r="I421" s="589">
        <v>12696.073589851243</v>
      </c>
      <c r="J421" s="589">
        <v>11372.599961568969</v>
      </c>
      <c r="K421" s="589">
        <v>11283.79021017822</v>
      </c>
      <c r="L421" s="589">
        <v>11302.914934552427</v>
      </c>
      <c r="M421" s="589">
        <v>11183.991163857663</v>
      </c>
      <c r="N421" s="589">
        <v>11164.084515144203</v>
      </c>
      <c r="O421" s="590">
        <v>11608.151443646349</v>
      </c>
      <c r="P421" s="167">
        <v>10730.322016622596</v>
      </c>
      <c r="Q421" s="167">
        <v>10521.906980101929</v>
      </c>
      <c r="R421" s="167">
        <v>10289.379637320366</v>
      </c>
      <c r="S421" s="167">
        <v>20245.823439691252</v>
      </c>
      <c r="T421" s="167">
        <v>18708.356241465677</v>
      </c>
      <c r="U421" s="167">
        <v>18872.124421855409</v>
      </c>
      <c r="V421" s="167">
        <v>19075.789833976425</v>
      </c>
      <c r="W421" s="167">
        <v>19305.335548692012</v>
      </c>
      <c r="X421" s="167">
        <v>19320.51045016916</v>
      </c>
      <c r="Y421"/>
      <c r="Z421"/>
      <c r="AA421"/>
      <c r="AB421"/>
      <c r="AC421"/>
      <c r="AD421"/>
      <c r="AE421"/>
      <c r="AF421"/>
      <c r="AG421"/>
    </row>
    <row r="422" spans="1:33" ht="12.75">
      <c r="A422" s="163"/>
      <c r="B422" s="163"/>
      <c r="C422" s="163"/>
      <c r="D422"/>
      <c r="E422"/>
      <c r="F422"/>
      <c r="G422"/>
      <c r="H422"/>
      <c r="I422"/>
      <c r="J422"/>
      <c r="K422"/>
      <c r="L422"/>
      <c r="M422"/>
      <c r="N422"/>
      <c r="O422"/>
      <c r="P422"/>
      <c r="Q422"/>
      <c r="R422"/>
      <c r="S422"/>
      <c r="T422"/>
      <c r="U422"/>
      <c r="V422"/>
      <c r="W422"/>
      <c r="X422"/>
      <c r="Y422"/>
      <c r="Z422"/>
      <c r="AA422"/>
      <c r="AB422"/>
      <c r="AC422"/>
      <c r="AD422"/>
      <c r="AE422"/>
      <c r="AF422"/>
      <c r="AG422"/>
    </row>
    <row r="423" spans="1:33" ht="12.75">
      <c r="A423" s="169" t="s">
        <v>662</v>
      </c>
      <c r="B423" s="163"/>
      <c r="C423" s="163"/>
      <c r="D423"/>
      <c r="E423"/>
      <c r="F423"/>
      <c r="G423"/>
      <c r="H423"/>
      <c r="I423"/>
      <c r="J423"/>
      <c r="K423"/>
      <c r="L423"/>
      <c r="M423"/>
      <c r="N423"/>
      <c r="O423"/>
      <c r="P423"/>
      <c r="Q423"/>
      <c r="R423"/>
      <c r="S423"/>
      <c r="T423"/>
      <c r="U423"/>
      <c r="V423"/>
      <c r="W423"/>
      <c r="X423"/>
      <c r="Y423"/>
      <c r="Z423"/>
      <c r="AA423"/>
      <c r="AB423"/>
      <c r="AC423"/>
      <c r="AD423"/>
      <c r="AE423"/>
      <c r="AF423"/>
      <c r="AG423"/>
    </row>
    <row r="424" spans="1:33" ht="12.75">
      <c r="A424" s="416">
        <v>36286</v>
      </c>
      <c r="B424" s="163"/>
      <c r="C424" s="163"/>
      <c r="D424"/>
      <c r="E424"/>
      <c r="F424"/>
      <c r="G424"/>
      <c r="H424"/>
      <c r="I424"/>
      <c r="J424"/>
      <c r="K424"/>
      <c r="L424"/>
      <c r="M424"/>
      <c r="N424"/>
      <c r="O424"/>
      <c r="P424"/>
      <c r="Q424"/>
      <c r="R424"/>
      <c r="S424"/>
      <c r="T424"/>
      <c r="U424"/>
      <c r="V424"/>
      <c r="W424"/>
      <c r="X424"/>
      <c r="Y424"/>
      <c r="Z424"/>
      <c r="AA424"/>
      <c r="AB424"/>
      <c r="AC424"/>
      <c r="AD424"/>
      <c r="AE424"/>
      <c r="AF424"/>
      <c r="AG424"/>
    </row>
    <row r="425" spans="1:33" ht="12.75">
      <c r="A425" s="164" t="s">
        <v>427</v>
      </c>
      <c r="B425" s="172">
        <v>26364.804871675206</v>
      </c>
      <c r="C425" s="163"/>
      <c r="D425"/>
      <c r="E425"/>
      <c r="F425"/>
      <c r="G425"/>
      <c r="H425"/>
      <c r="I425"/>
      <c r="J425"/>
      <c r="K425"/>
      <c r="L425"/>
      <c r="M425"/>
      <c r="N425"/>
      <c r="O425"/>
      <c r="P425"/>
      <c r="Q425"/>
      <c r="R425"/>
      <c r="S425"/>
      <c r="T425"/>
      <c r="U425"/>
      <c r="V425"/>
      <c r="W425"/>
      <c r="X425"/>
      <c r="Y425"/>
      <c r="Z425"/>
      <c r="AA425"/>
      <c r="AB425"/>
      <c r="AC425"/>
      <c r="AD425"/>
      <c r="AE425"/>
      <c r="AF425"/>
      <c r="AG425"/>
    </row>
    <row r="426" spans="1:33" ht="12.75">
      <c r="A426" s="165" t="s">
        <v>428</v>
      </c>
      <c r="B426" s="173">
        <v>55716.997277338953</v>
      </c>
      <c r="C426" s="163"/>
      <c r="D426"/>
      <c r="E426"/>
      <c r="F426"/>
      <c r="G426"/>
      <c r="H426"/>
      <c r="I426"/>
      <c r="J426"/>
      <c r="K426"/>
      <c r="L426"/>
      <c r="M426"/>
      <c r="N426"/>
      <c r="O426"/>
      <c r="P426"/>
      <c r="Q426"/>
      <c r="R426"/>
      <c r="S426"/>
      <c r="T426"/>
      <c r="U426"/>
      <c r="V426"/>
      <c r="W426"/>
      <c r="X426"/>
      <c r="Y426"/>
      <c r="Z426"/>
      <c r="AA426"/>
      <c r="AB426"/>
      <c r="AC426"/>
      <c r="AD426"/>
      <c r="AE426"/>
      <c r="AF426"/>
      <c r="AG426"/>
    </row>
    <row r="427" spans="1:33" ht="12.75">
      <c r="A427" s="166" t="s">
        <v>429</v>
      </c>
      <c r="B427" s="580" t="s">
        <v>499</v>
      </c>
      <c r="C427" s="580" t="s">
        <v>500</v>
      </c>
      <c r="D427" s="582">
        <v>1999</v>
      </c>
      <c r="E427" s="583">
        <v>2000</v>
      </c>
      <c r="F427" s="583">
        <v>2001</v>
      </c>
      <c r="G427" s="583">
        <v>2002</v>
      </c>
      <c r="H427" s="583">
        <v>2003</v>
      </c>
      <c r="I427" s="583">
        <v>2004</v>
      </c>
      <c r="J427" s="583">
        <v>2005</v>
      </c>
      <c r="K427" s="583">
        <v>2006</v>
      </c>
      <c r="L427" s="583">
        <v>2007</v>
      </c>
      <c r="M427" s="583">
        <v>2008</v>
      </c>
      <c r="N427" s="583">
        <v>2009</v>
      </c>
      <c r="O427" s="584">
        <v>2010</v>
      </c>
      <c r="P427" s="171">
        <v>2011</v>
      </c>
      <c r="Q427" s="171">
        <v>2012</v>
      </c>
      <c r="R427" s="171">
        <v>2013</v>
      </c>
      <c r="S427" s="171">
        <v>2014</v>
      </c>
      <c r="T427" s="171">
        <v>2015</v>
      </c>
      <c r="U427" s="171">
        <v>2016</v>
      </c>
      <c r="V427" s="171">
        <v>2017</v>
      </c>
      <c r="W427" s="171">
        <v>2018</v>
      </c>
      <c r="X427" s="171">
        <v>2019</v>
      </c>
      <c r="Y427"/>
      <c r="Z427"/>
      <c r="AA427"/>
      <c r="AB427"/>
      <c r="AC427"/>
      <c r="AD427"/>
      <c r="AE427"/>
      <c r="AF427"/>
      <c r="AG427"/>
    </row>
    <row r="428" spans="1:33" ht="12.75">
      <c r="A428" s="166" t="s">
        <v>430</v>
      </c>
      <c r="B428" s="581">
        <f>NPV(0.1,D428:Y428)</f>
        <v>395568.76348232443</v>
      </c>
      <c r="C428" s="581">
        <f>B428-B418</f>
        <v>7807.7030839695944</v>
      </c>
      <c r="D428" s="585">
        <v>27166.178482499996</v>
      </c>
      <c r="E428" s="586">
        <v>40240.583501052031</v>
      </c>
      <c r="F428" s="586">
        <v>40941.122864717196</v>
      </c>
      <c r="G428" s="586">
        <v>40999.602500183712</v>
      </c>
      <c r="H428" s="586">
        <v>45385.179281676406</v>
      </c>
      <c r="I428" s="586">
        <v>48812.571908537851</v>
      </c>
      <c r="J428" s="586">
        <v>49224.536410045803</v>
      </c>
      <c r="K428" s="586">
        <v>49632.335507317919</v>
      </c>
      <c r="L428" s="586">
        <v>50619.704226158457</v>
      </c>
      <c r="M428" s="586">
        <v>51034.807616911145</v>
      </c>
      <c r="N428" s="586">
        <v>52064.250499039474</v>
      </c>
      <c r="O428" s="587">
        <v>52486.035396848732</v>
      </c>
      <c r="P428" s="167">
        <v>53559.015112375193</v>
      </c>
      <c r="Q428" s="167">
        <v>53986.75578519384</v>
      </c>
      <c r="R428" s="167">
        <v>54407.005825171851</v>
      </c>
      <c r="S428" s="167">
        <v>54818.930827733209</v>
      </c>
      <c r="T428" s="167">
        <v>55221.653065596976</v>
      </c>
      <c r="U428" s="167">
        <v>55614.249640378977</v>
      </c>
      <c r="V428" s="167">
        <v>55995.750562280249</v>
      </c>
      <c r="W428" s="167">
        <v>56365.136755210609</v>
      </c>
      <c r="X428" s="167">
        <v>40269.254627802104</v>
      </c>
      <c r="Y428"/>
      <c r="Z428"/>
      <c r="AA428"/>
      <c r="AB428"/>
      <c r="AC428"/>
      <c r="AD428"/>
      <c r="AE428"/>
      <c r="AF428"/>
      <c r="AG428"/>
    </row>
    <row r="429" spans="1:33" ht="12.75">
      <c r="A429" s="168" t="s">
        <v>431</v>
      </c>
      <c r="B429" s="581">
        <f>NPV(0.1,D429:Y429)</f>
        <v>190013.37893459189</v>
      </c>
      <c r="C429" s="581">
        <f>B429-B419</f>
        <v>-228.76292833455955</v>
      </c>
      <c r="D429" s="585">
        <v>19471.861864465438</v>
      </c>
      <c r="E429" s="586">
        <v>21413.661825982756</v>
      </c>
      <c r="F429" s="586">
        <v>21779.357063498966</v>
      </c>
      <c r="G429" s="586">
        <v>21864.260474962895</v>
      </c>
      <c r="H429" s="586">
        <v>21993.057446164978</v>
      </c>
      <c r="I429" s="586">
        <v>22132.494410278498</v>
      </c>
      <c r="J429" s="586">
        <v>22245.091389015699</v>
      </c>
      <c r="K429" s="586">
        <v>22356.425124725065</v>
      </c>
      <c r="L429" s="586">
        <v>22472.07270729947</v>
      </c>
      <c r="M429" s="586">
        <v>22592.135511867098</v>
      </c>
      <c r="N429" s="586">
        <v>22711.340635068482</v>
      </c>
      <c r="O429" s="587">
        <v>23617.640351263977</v>
      </c>
      <c r="P429" s="167">
        <v>23686.616560424245</v>
      </c>
      <c r="Q429" s="167">
        <v>23744.263673591147</v>
      </c>
      <c r="R429" s="167">
        <v>23807.059065080473</v>
      </c>
      <c r="S429" s="167">
        <v>23879.398774598118</v>
      </c>
      <c r="T429" s="167">
        <v>23928.963830592027</v>
      </c>
      <c r="U429" s="167">
        <v>23967.923882768639</v>
      </c>
      <c r="V429" s="167">
        <v>24012.662820962505</v>
      </c>
      <c r="W429" s="167">
        <v>24161.155217100801</v>
      </c>
      <c r="X429" s="167">
        <v>7586.5916614659836</v>
      </c>
      <c r="Y429"/>
      <c r="Z429"/>
      <c r="AA429"/>
      <c r="AB429"/>
      <c r="AC429"/>
      <c r="AD429"/>
      <c r="AE429"/>
      <c r="AF429"/>
      <c r="AG429"/>
    </row>
    <row r="430" spans="1:33" ht="12.75">
      <c r="A430" s="168" t="s">
        <v>34</v>
      </c>
      <c r="B430" s="581">
        <f>NPV(0.1,D430:Y430)</f>
        <v>80506.80530310332</v>
      </c>
      <c r="C430" s="581">
        <f>B430-B420</f>
        <v>4053.2751727315772</v>
      </c>
      <c r="D430" s="585">
        <v>1592.6073341498568</v>
      </c>
      <c r="E430" s="586">
        <v>4118.4392236242893</v>
      </c>
      <c r="F430" s="586">
        <v>4539.5314931089233</v>
      </c>
      <c r="G430" s="586">
        <v>4796.7763842018885</v>
      </c>
      <c r="H430" s="586">
        <v>7630.1440442814655</v>
      </c>
      <c r="I430" s="586">
        <v>9935.6458084530077</v>
      </c>
      <c r="J430" s="586">
        <v>10489.705495417991</v>
      </c>
      <c r="K430" s="586">
        <v>10925.429373932173</v>
      </c>
      <c r="L430" s="586">
        <v>11746.701558440334</v>
      </c>
      <c r="M430" s="586">
        <v>12246.747922757575</v>
      </c>
      <c r="N430" s="586">
        <v>13162.503613028919</v>
      </c>
      <c r="O430" s="587">
        <v>13251.95277658421</v>
      </c>
      <c r="P430" s="167">
        <v>14293.867646695055</v>
      </c>
      <c r="Q430" s="167">
        <v>14992.424685823516</v>
      </c>
      <c r="R430" s="167">
        <v>15727.766097962363</v>
      </c>
      <c r="S430" s="167">
        <v>16523.679877971059</v>
      </c>
      <c r="T430" s="167">
        <v>16777.706562773252</v>
      </c>
      <c r="U430" s="167">
        <v>16998.80674739094</v>
      </c>
      <c r="V430" s="167">
        <v>17209.356653892006</v>
      </c>
      <c r="W430" s="167">
        <v>17347.463597405098</v>
      </c>
      <c r="X430" s="167">
        <v>17646.744201608963</v>
      </c>
      <c r="Y430"/>
      <c r="Z430"/>
      <c r="AA430"/>
      <c r="AB430"/>
      <c r="AC430"/>
      <c r="AD430"/>
      <c r="AE430"/>
      <c r="AF430"/>
      <c r="AG430"/>
    </row>
    <row r="431" spans="1:33" ht="12.75">
      <c r="A431" s="168" t="s">
        <v>31</v>
      </c>
      <c r="B431" s="581">
        <f>NPV(0.1,D431:Y431)</f>
        <v>88973.236702902956</v>
      </c>
      <c r="C431" s="581">
        <f>B431-B421</f>
        <v>2648.2656229486602</v>
      </c>
      <c r="D431" s="588">
        <v>2660.9511637369519</v>
      </c>
      <c r="E431" s="589">
        <v>4050.2318456171497</v>
      </c>
      <c r="F431" s="589">
        <v>6615.8833039046931</v>
      </c>
      <c r="G431" s="589">
        <v>6606.7450813722517</v>
      </c>
      <c r="H431" s="589">
        <v>14283.166494224328</v>
      </c>
      <c r="I431" s="589">
        <v>12042.978027345305</v>
      </c>
      <c r="J431" s="589">
        <v>11688.987550888183</v>
      </c>
      <c r="K431" s="589">
        <v>11597.07690920865</v>
      </c>
      <c r="L431" s="589">
        <v>11616.757671297026</v>
      </c>
      <c r="M431" s="589">
        <v>11493.249889431518</v>
      </c>
      <c r="N431" s="589">
        <v>11472.548844888905</v>
      </c>
      <c r="O431" s="590">
        <v>11910.271484233723</v>
      </c>
      <c r="P431" s="167">
        <v>11030.014028112033</v>
      </c>
      <c r="Q431" s="167">
        <v>10813.171036758957</v>
      </c>
      <c r="R431" s="167">
        <v>10571.091948251671</v>
      </c>
      <c r="S431" s="167">
        <v>20997.991867402783</v>
      </c>
      <c r="T431" s="167">
        <v>19467.898869448891</v>
      </c>
      <c r="U431" s="167">
        <v>19638.806750541658</v>
      </c>
      <c r="V431" s="167">
        <v>19849.356657042728</v>
      </c>
      <c r="W431" s="167">
        <v>20085.509921705336</v>
      </c>
      <c r="X431" s="167">
        <v>20106.99261598556</v>
      </c>
      <c r="Y431"/>
      <c r="Z431"/>
      <c r="AA431"/>
      <c r="AB431"/>
      <c r="AC431"/>
      <c r="AD431"/>
      <c r="AE431"/>
      <c r="AF431"/>
      <c r="AG431"/>
    </row>
    <row r="432" spans="1:33" ht="12.75">
      <c r="A432" s="163"/>
      <c r="B432" s="163"/>
      <c r="C432" s="163"/>
      <c r="D432"/>
      <c r="E432"/>
      <c r="F432"/>
      <c r="G432"/>
      <c r="H432"/>
      <c r="I432"/>
      <c r="J432"/>
      <c r="K432"/>
      <c r="L432"/>
      <c r="M432"/>
      <c r="N432"/>
      <c r="O432"/>
      <c r="P432"/>
      <c r="Q432"/>
      <c r="R432"/>
      <c r="S432"/>
      <c r="T432"/>
      <c r="U432"/>
      <c r="V432"/>
      <c r="W432"/>
      <c r="X432"/>
      <c r="Y432"/>
      <c r="Z432"/>
      <c r="AA432"/>
      <c r="AB432"/>
      <c r="AC432"/>
      <c r="AD432"/>
      <c r="AE432"/>
      <c r="AF432"/>
      <c r="AG432"/>
    </row>
    <row r="433" spans="1:33" ht="12.75">
      <c r="A433" s="169" t="s">
        <v>668</v>
      </c>
      <c r="B433" s="163"/>
      <c r="C433" s="163"/>
      <c r="D433"/>
      <c r="E433"/>
      <c r="F433"/>
      <c r="G433"/>
      <c r="H433"/>
      <c r="I433"/>
      <c r="J433"/>
      <c r="K433"/>
      <c r="L433"/>
      <c r="M433"/>
      <c r="N433"/>
      <c r="O433"/>
      <c r="P433"/>
      <c r="Q433"/>
      <c r="R433"/>
      <c r="S433"/>
      <c r="T433"/>
      <c r="U433"/>
      <c r="V433"/>
      <c r="W433"/>
      <c r="X433"/>
      <c r="Y433"/>
      <c r="Z433"/>
      <c r="AA433"/>
      <c r="AB433"/>
      <c r="AC433"/>
      <c r="AD433"/>
      <c r="AE433"/>
      <c r="AF433"/>
      <c r="AG433"/>
    </row>
    <row r="434" spans="1:33" ht="12.75">
      <c r="A434" s="416">
        <v>36286</v>
      </c>
      <c r="B434" s="163"/>
      <c r="C434" s="163"/>
      <c r="D434"/>
      <c r="E434"/>
      <c r="F434"/>
      <c r="G434"/>
      <c r="H434"/>
      <c r="I434"/>
      <c r="J434"/>
      <c r="K434"/>
      <c r="L434"/>
      <c r="M434"/>
      <c r="N434"/>
      <c r="O434"/>
      <c r="P434"/>
      <c r="Q434"/>
      <c r="R434"/>
      <c r="S434"/>
      <c r="T434"/>
      <c r="U434"/>
      <c r="V434"/>
      <c r="W434"/>
      <c r="X434"/>
      <c r="Y434"/>
      <c r="Z434"/>
      <c r="AA434"/>
      <c r="AB434"/>
      <c r="AC434"/>
      <c r="AD434"/>
      <c r="AE434"/>
      <c r="AF434"/>
      <c r="AG434"/>
    </row>
    <row r="435" spans="1:33" ht="12.75">
      <c r="A435" s="164" t="s">
        <v>427</v>
      </c>
      <c r="B435" s="172">
        <v>23850.009648038322</v>
      </c>
      <c r="C435" s="163"/>
      <c r="D435"/>
      <c r="E435"/>
      <c r="F435"/>
      <c r="G435"/>
      <c r="H435"/>
      <c r="I435"/>
      <c r="J435"/>
      <c r="K435"/>
      <c r="L435"/>
      <c r="M435"/>
      <c r="N435"/>
      <c r="O435"/>
      <c r="P435"/>
      <c r="Q435"/>
      <c r="R435"/>
      <c r="S435"/>
      <c r="T435"/>
      <c r="U435"/>
      <c r="V435"/>
      <c r="W435"/>
      <c r="X435"/>
      <c r="Y435"/>
      <c r="Z435"/>
      <c r="AA435"/>
      <c r="AB435"/>
      <c r="AC435"/>
      <c r="AD435"/>
      <c r="AE435"/>
      <c r="AF435"/>
      <c r="AG435"/>
    </row>
    <row r="436" spans="1:33" ht="12.75">
      <c r="A436" s="165" t="s">
        <v>428</v>
      </c>
      <c r="B436" s="173">
        <v>52288.944774881784</v>
      </c>
      <c r="C436" s="163"/>
      <c r="D436"/>
      <c r="E436"/>
      <c r="F436"/>
      <c r="G436"/>
      <c r="H436"/>
      <c r="I436"/>
      <c r="J436"/>
      <c r="K436"/>
      <c r="L436"/>
      <c r="M436"/>
      <c r="N436"/>
      <c r="O436"/>
      <c r="P436"/>
      <c r="Q436"/>
      <c r="R436"/>
      <c r="S436"/>
      <c r="T436"/>
      <c r="U436"/>
      <c r="V436"/>
      <c r="W436"/>
      <c r="X436"/>
      <c r="Y436"/>
      <c r="Z436"/>
      <c r="AA436"/>
      <c r="AB436"/>
      <c r="AC436"/>
      <c r="AD436"/>
      <c r="AE436"/>
      <c r="AF436"/>
      <c r="AG436"/>
    </row>
    <row r="437" spans="1:33" ht="12.75">
      <c r="A437" s="166" t="s">
        <v>429</v>
      </c>
      <c r="B437" s="580" t="s">
        <v>499</v>
      </c>
      <c r="C437" s="580" t="s">
        <v>500</v>
      </c>
      <c r="D437" s="582">
        <v>1999</v>
      </c>
      <c r="E437" s="583">
        <v>2000</v>
      </c>
      <c r="F437" s="583">
        <v>2001</v>
      </c>
      <c r="G437" s="583">
        <v>2002</v>
      </c>
      <c r="H437" s="583">
        <v>2003</v>
      </c>
      <c r="I437" s="583">
        <v>2004</v>
      </c>
      <c r="J437" s="583">
        <v>2005</v>
      </c>
      <c r="K437" s="583">
        <v>2006</v>
      </c>
      <c r="L437" s="583">
        <v>2007</v>
      </c>
      <c r="M437" s="583">
        <v>2008</v>
      </c>
      <c r="N437" s="583">
        <v>2009</v>
      </c>
      <c r="O437" s="584">
        <v>2010</v>
      </c>
      <c r="P437" s="171">
        <v>2011</v>
      </c>
      <c r="Q437" s="171">
        <v>2012</v>
      </c>
      <c r="R437" s="171">
        <v>2013</v>
      </c>
      <c r="S437" s="171">
        <v>2014</v>
      </c>
      <c r="T437" s="171">
        <v>2015</v>
      </c>
      <c r="U437" s="171">
        <v>2016</v>
      </c>
      <c r="V437" s="171">
        <v>2017</v>
      </c>
      <c r="W437" s="171">
        <v>2018</v>
      </c>
      <c r="X437" s="171">
        <v>2019</v>
      </c>
      <c r="Y437"/>
      <c r="Z437"/>
      <c r="AA437"/>
      <c r="AB437"/>
      <c r="AC437"/>
      <c r="AD437"/>
      <c r="AE437"/>
      <c r="AF437"/>
      <c r="AG437"/>
    </row>
    <row r="438" spans="1:33" ht="12.75">
      <c r="A438" s="166" t="s">
        <v>430</v>
      </c>
      <c r="B438" s="581">
        <f>NPV(0.1,D438:Y438)</f>
        <v>389576.04246696358</v>
      </c>
      <c r="C438" s="581">
        <f>B438-B428</f>
        <v>-5992.7210153608466</v>
      </c>
      <c r="D438" s="585">
        <v>26898.216959999994</v>
      </c>
      <c r="E438" s="586">
        <v>40079.915814977372</v>
      </c>
      <c r="F438" s="586">
        <v>40673.161342217194</v>
      </c>
      <c r="G438" s="586">
        <v>40731.64097768371</v>
      </c>
      <c r="H438" s="586">
        <v>40720.399815461329</v>
      </c>
      <c r="I438" s="586">
        <v>47935.027842670614</v>
      </c>
      <c r="J438" s="586">
        <v>48339.398634864941</v>
      </c>
      <c r="K438" s="586">
        <v>48739.706698329624</v>
      </c>
      <c r="L438" s="586">
        <v>49708.012939375512</v>
      </c>
      <c r="M438" s="586">
        <v>50115.519705792773</v>
      </c>
      <c r="N438" s="586">
        <v>51125.100337062562</v>
      </c>
      <c r="O438" s="587">
        <v>51539.197941903163</v>
      </c>
      <c r="P438" s="167">
        <v>52591.488920256263</v>
      </c>
      <c r="Q438" s="167">
        <v>53011.468762469813</v>
      </c>
      <c r="R438" s="167">
        <v>53424.131603985064</v>
      </c>
      <c r="S438" s="167">
        <v>53828.660442902132</v>
      </c>
      <c r="T438" s="167">
        <v>54224.195842507746</v>
      </c>
      <c r="U438" s="167">
        <v>54609.834120488216</v>
      </c>
      <c r="V438" s="167">
        <v>54984.625467686375</v>
      </c>
      <c r="W438" s="167">
        <v>55347.571993805097</v>
      </c>
      <c r="X438" s="167">
        <v>55697.625697367148</v>
      </c>
      <c r="Y438"/>
      <c r="Z438"/>
      <c r="AA438"/>
      <c r="AB438"/>
      <c r="AC438"/>
      <c r="AD438"/>
      <c r="AE438"/>
      <c r="AF438"/>
      <c r="AG438"/>
    </row>
    <row r="439" spans="1:33" ht="12.75">
      <c r="A439" s="168" t="s">
        <v>431</v>
      </c>
      <c r="B439" s="581">
        <f>NPV(0.1,D439:Y439)</f>
        <v>187475.07674242792</v>
      </c>
      <c r="C439" s="581">
        <f>B439-B429</f>
        <v>-2538.3021921639738</v>
      </c>
      <c r="D439" s="585">
        <v>19203.859035727201</v>
      </c>
      <c r="E439" s="586">
        <v>21192.792306903229</v>
      </c>
      <c r="F439" s="586">
        <v>21511.080265697794</v>
      </c>
      <c r="G439" s="586">
        <v>21595.861332713514</v>
      </c>
      <c r="H439" s="586">
        <v>17727.310832372539</v>
      </c>
      <c r="I439" s="586">
        <v>21864.5328877785</v>
      </c>
      <c r="J439" s="586">
        <v>21977.129866515701</v>
      </c>
      <c r="K439" s="586">
        <v>22088.463602225063</v>
      </c>
      <c r="L439" s="586">
        <v>22204.111184799469</v>
      </c>
      <c r="M439" s="586">
        <v>22324.1739893671</v>
      </c>
      <c r="N439" s="586">
        <v>22443.37911256848</v>
      </c>
      <c r="O439" s="587">
        <v>23349.678828763976</v>
      </c>
      <c r="P439" s="167">
        <v>23418.655037924247</v>
      </c>
      <c r="Q439" s="167">
        <v>23476.302151091146</v>
      </c>
      <c r="R439" s="167">
        <v>23539.097542580479</v>
      </c>
      <c r="S439" s="167">
        <v>23611.437252098116</v>
      </c>
      <c r="T439" s="167">
        <v>23661.002308092029</v>
      </c>
      <c r="U439" s="167">
        <v>23699.962360268637</v>
      </c>
      <c r="V439" s="167">
        <v>23744.701298462503</v>
      </c>
      <c r="W439" s="167">
        <v>23893.193694600806</v>
      </c>
      <c r="X439" s="167">
        <v>23770.71349576598</v>
      </c>
      <c r="Y439"/>
      <c r="Z439"/>
      <c r="AA439"/>
      <c r="AB439"/>
      <c r="AC439"/>
      <c r="AD439"/>
      <c r="AE439"/>
      <c r="AF439"/>
      <c r="AG439"/>
    </row>
    <row r="440" spans="1:33" ht="12.75">
      <c r="A440" s="168" t="s">
        <v>34</v>
      </c>
      <c r="B440" s="581">
        <f>NPV(0.1,D440:Y440)</f>
        <v>78822.635253398912</v>
      </c>
      <c r="C440" s="581">
        <f>B440-B430</f>
        <v>-1684.1700497044076</v>
      </c>
      <c r="D440" s="585">
        <v>1619.2809049838011</v>
      </c>
      <c r="E440" s="586">
        <v>4222.0996454711949</v>
      </c>
      <c r="F440" s="586">
        <v>4612.7870413181099</v>
      </c>
      <c r="G440" s="586">
        <v>4875.7805115437186</v>
      </c>
      <c r="H440" s="586">
        <v>7468.24429033858</v>
      </c>
      <c r="I440" s="586">
        <v>9641.2281961415974</v>
      </c>
      <c r="J440" s="586">
        <v>10185.431188482678</v>
      </c>
      <c r="K440" s="586">
        <v>10610.803798114237</v>
      </c>
      <c r="L440" s="586">
        <v>11413.888588439209</v>
      </c>
      <c r="M440" s="586">
        <v>11902.038016527933</v>
      </c>
      <c r="N440" s="586">
        <v>12797.506170850564</v>
      </c>
      <c r="O440" s="587">
        <v>12873.25778958981</v>
      </c>
      <c r="P440" s="167">
        <v>13892.483162872464</v>
      </c>
      <c r="Q440" s="167">
        <v>14575.244304476239</v>
      </c>
      <c r="R440" s="167">
        <v>15293.869528691439</v>
      </c>
      <c r="S440" s="167">
        <v>16072.078833950502</v>
      </c>
      <c r="T440" s="167">
        <v>16321.612172720479</v>
      </c>
      <c r="U440" s="167">
        <v>16538.361899709787</v>
      </c>
      <c r="V440" s="167">
        <v>16744.71685430194</v>
      </c>
      <c r="W440" s="167">
        <v>16878.797597380635</v>
      </c>
      <c r="X440" s="167">
        <v>17174.234653169831</v>
      </c>
      <c r="Y440"/>
      <c r="Z440"/>
      <c r="AA440"/>
      <c r="AB440"/>
      <c r="AC440"/>
      <c r="AD440"/>
      <c r="AE440"/>
      <c r="AF440"/>
      <c r="AG440"/>
    </row>
    <row r="441" spans="1:33" ht="12.75">
      <c r="A441" s="168" t="s">
        <v>31</v>
      </c>
      <c r="B441" s="581">
        <f>NPV(0.1,D441:Y441)</f>
        <v>87606.512405959307</v>
      </c>
      <c r="C441" s="581">
        <f>B441-B431</f>
        <v>-1366.7242969436484</v>
      </c>
      <c r="D441" s="588">
        <v>2660.9654488110082</v>
      </c>
      <c r="E441" s="589">
        <v>4071.0516461980005</v>
      </c>
      <c r="F441" s="589">
        <v>6615.9923366130133</v>
      </c>
      <c r="G441" s="589">
        <v>6606.8964248689117</v>
      </c>
      <c r="H441" s="589">
        <v>13963.997054762372</v>
      </c>
      <c r="I441" s="589">
        <v>11851.980762786494</v>
      </c>
      <c r="J441" s="589">
        <v>11499.444703251129</v>
      </c>
      <c r="K441" s="589">
        <v>11409.357722955805</v>
      </c>
      <c r="L441" s="589">
        <v>11428.628593144054</v>
      </c>
      <c r="M441" s="589">
        <v>11307.83723613206</v>
      </c>
      <c r="N441" s="589">
        <v>11287.537336218562</v>
      </c>
      <c r="O441" s="590">
        <v>11729.036222615434</v>
      </c>
      <c r="P441" s="167">
        <v>10850.161542564992</v>
      </c>
      <c r="Q441" s="167">
        <v>10638.34954579131</v>
      </c>
      <c r="R441" s="167">
        <v>10401.977859975859</v>
      </c>
      <c r="S441" s="167">
        <v>20546.390823382226</v>
      </c>
      <c r="T441" s="167">
        <v>19011.804479396116</v>
      </c>
      <c r="U441" s="167">
        <v>19178.361902860506</v>
      </c>
      <c r="V441" s="167">
        <v>19384.716857452659</v>
      </c>
      <c r="W441" s="167">
        <v>19616.843921680877</v>
      </c>
      <c r="X441" s="167">
        <v>19634.483067546429</v>
      </c>
      <c r="Y441"/>
      <c r="Z441"/>
      <c r="AA441"/>
      <c r="AB441"/>
      <c r="AC441"/>
      <c r="AD441"/>
      <c r="AE441"/>
      <c r="AF441"/>
      <c r="AG441"/>
    </row>
    <row r="442" spans="1:33" ht="12.75">
      <c r="A442" s="163"/>
      <c r="B442" s="163"/>
      <c r="C442" s="163"/>
      <c r="D442"/>
      <c r="E442"/>
      <c r="F442"/>
      <c r="G442"/>
      <c r="H442"/>
      <c r="I442"/>
      <c r="J442"/>
      <c r="K442"/>
      <c r="L442"/>
      <c r="M442"/>
      <c r="N442"/>
      <c r="O442"/>
      <c r="P442"/>
      <c r="Q442"/>
      <c r="R442"/>
      <c r="S442"/>
      <c r="T442"/>
      <c r="U442"/>
      <c r="V442"/>
      <c r="W442"/>
      <c r="X442"/>
      <c r="Y442"/>
      <c r="Z442"/>
      <c r="AA442"/>
      <c r="AB442"/>
      <c r="AC442"/>
      <c r="AD442"/>
      <c r="AE442"/>
      <c r="AF442"/>
      <c r="AG442"/>
    </row>
    <row r="443" spans="1:33" ht="12.75">
      <c r="A443" s="169" t="s">
        <v>677</v>
      </c>
      <c r="B443" s="163"/>
      <c r="C443" s="163"/>
      <c r="D443"/>
      <c r="E443"/>
      <c r="F443"/>
      <c r="G443"/>
      <c r="H443"/>
      <c r="I443"/>
      <c r="J443"/>
      <c r="K443"/>
      <c r="L443"/>
      <c r="M443"/>
      <c r="N443"/>
      <c r="O443"/>
      <c r="P443"/>
      <c r="Q443"/>
      <c r="R443"/>
      <c r="S443"/>
      <c r="T443"/>
      <c r="U443"/>
      <c r="V443"/>
      <c r="W443"/>
      <c r="X443"/>
      <c r="Y443"/>
      <c r="Z443"/>
      <c r="AA443"/>
      <c r="AB443"/>
      <c r="AC443"/>
      <c r="AD443"/>
      <c r="AE443"/>
      <c r="AF443"/>
      <c r="AG443"/>
    </row>
    <row r="444" spans="1:33" ht="12.75">
      <c r="A444" s="416">
        <v>36292</v>
      </c>
      <c r="B444" s="163"/>
      <c r="C444" s="163"/>
      <c r="D444"/>
      <c r="E444"/>
      <c r="F444"/>
      <c r="G444"/>
      <c r="H444"/>
      <c r="I444"/>
      <c r="J444"/>
      <c r="K444"/>
      <c r="L444"/>
      <c r="M444"/>
      <c r="N444"/>
      <c r="O444"/>
      <c r="P444"/>
      <c r="Q444"/>
      <c r="R444"/>
      <c r="S444"/>
      <c r="T444"/>
      <c r="U444"/>
      <c r="V444"/>
      <c r="W444"/>
      <c r="X444"/>
      <c r="Y444"/>
      <c r="Z444"/>
      <c r="AA444"/>
      <c r="AB444"/>
      <c r="AC444"/>
      <c r="AD444"/>
      <c r="AE444"/>
      <c r="AF444"/>
      <c r="AG444"/>
    </row>
    <row r="445" spans="1:33" ht="12.75">
      <c r="A445" s="164" t="s">
        <v>427</v>
      </c>
      <c r="B445" s="172">
        <v>23821.594664700177</v>
      </c>
      <c r="C445" s="163"/>
      <c r="D445"/>
      <c r="E445"/>
      <c r="F445"/>
      <c r="G445"/>
      <c r="H445"/>
      <c r="I445"/>
      <c r="J445"/>
      <c r="K445"/>
      <c r="L445"/>
      <c r="M445"/>
      <c r="N445"/>
      <c r="O445"/>
      <c r="P445"/>
      <c r="Q445"/>
      <c r="R445"/>
      <c r="S445"/>
      <c r="T445"/>
      <c r="U445"/>
      <c r="V445"/>
      <c r="W445"/>
      <c r="X445"/>
      <c r="Y445"/>
      <c r="Z445"/>
      <c r="AA445"/>
      <c r="AB445"/>
      <c r="AC445"/>
      <c r="AD445"/>
      <c r="AE445"/>
      <c r="AF445"/>
      <c r="AG445"/>
    </row>
    <row r="446" spans="1:33" ht="12.75">
      <c r="A446" s="165" t="s">
        <v>428</v>
      </c>
      <c r="B446" s="173">
        <v>52254.760435190568</v>
      </c>
      <c r="C446" s="163"/>
      <c r="D446"/>
      <c r="E446"/>
      <c r="F446"/>
      <c r="G446"/>
      <c r="H446"/>
      <c r="I446"/>
      <c r="J446"/>
      <c r="K446"/>
      <c r="L446"/>
      <c r="M446"/>
      <c r="N446"/>
      <c r="O446"/>
      <c r="P446"/>
      <c r="Q446"/>
      <c r="R446"/>
      <c r="S446"/>
      <c r="T446"/>
      <c r="U446"/>
      <c r="V446"/>
      <c r="W446"/>
      <c r="X446"/>
      <c r="Y446"/>
      <c r="Z446"/>
      <c r="AA446"/>
      <c r="AB446"/>
      <c r="AC446"/>
      <c r="AD446"/>
      <c r="AE446"/>
      <c r="AF446"/>
      <c r="AG446"/>
    </row>
    <row r="447" spans="1:33" ht="12.75">
      <c r="A447" s="166" t="s">
        <v>429</v>
      </c>
      <c r="B447" s="580" t="s">
        <v>499</v>
      </c>
      <c r="C447" s="580" t="s">
        <v>500</v>
      </c>
      <c r="D447" s="582">
        <v>1999</v>
      </c>
      <c r="E447" s="583">
        <v>2000</v>
      </c>
      <c r="F447" s="583">
        <v>2001</v>
      </c>
      <c r="G447" s="583">
        <v>2002</v>
      </c>
      <c r="H447" s="583">
        <v>2003</v>
      </c>
      <c r="I447" s="583">
        <v>2004</v>
      </c>
      <c r="J447" s="583">
        <v>2005</v>
      </c>
      <c r="K447" s="583">
        <v>2006</v>
      </c>
      <c r="L447" s="583">
        <v>2007</v>
      </c>
      <c r="M447" s="583">
        <v>2008</v>
      </c>
      <c r="N447" s="583">
        <v>2009</v>
      </c>
      <c r="O447" s="584">
        <v>2010</v>
      </c>
      <c r="P447" s="171">
        <v>2011</v>
      </c>
      <c r="Q447" s="171">
        <v>2012</v>
      </c>
      <c r="R447" s="171">
        <v>2013</v>
      </c>
      <c r="S447" s="171">
        <v>2014</v>
      </c>
      <c r="T447" s="171">
        <v>2015</v>
      </c>
      <c r="U447" s="171">
        <v>2016</v>
      </c>
      <c r="V447" s="171">
        <v>2017</v>
      </c>
      <c r="W447" s="171">
        <v>2018</v>
      </c>
      <c r="X447" s="171">
        <v>2019</v>
      </c>
      <c r="Y447"/>
      <c r="Z447"/>
      <c r="AA447"/>
      <c r="AB447"/>
      <c r="AC447"/>
      <c r="AD447"/>
      <c r="AE447"/>
      <c r="AF447"/>
      <c r="AG447"/>
    </row>
    <row r="448" spans="1:33" ht="12.75">
      <c r="A448" s="166" t="s">
        <v>430</v>
      </c>
      <c r="B448" s="581">
        <f>NPV(0.1,D448:Y448)</f>
        <v>389576.04246696358</v>
      </c>
      <c r="C448" s="581">
        <f>B448-B438</f>
        <v>0</v>
      </c>
      <c r="D448" s="585">
        <v>26898.216959999994</v>
      </c>
      <c r="E448" s="586">
        <v>40079.915814977372</v>
      </c>
      <c r="F448" s="586">
        <v>40673.161342217194</v>
      </c>
      <c r="G448" s="586">
        <v>40731.64097768371</v>
      </c>
      <c r="H448" s="586">
        <v>40720.399815461329</v>
      </c>
      <c r="I448" s="586">
        <v>47935.027842670614</v>
      </c>
      <c r="J448" s="586">
        <v>48339.398634864941</v>
      </c>
      <c r="K448" s="586">
        <v>48739.706698329624</v>
      </c>
      <c r="L448" s="586">
        <v>49708.012939375512</v>
      </c>
      <c r="M448" s="586">
        <v>50115.519705792773</v>
      </c>
      <c r="N448" s="586">
        <v>51125.100337062562</v>
      </c>
      <c r="O448" s="587">
        <v>51539.197941903163</v>
      </c>
      <c r="P448" s="167">
        <v>52591.488920256263</v>
      </c>
      <c r="Q448" s="167">
        <v>53011.468762469813</v>
      </c>
      <c r="R448" s="167">
        <v>53424.131603985064</v>
      </c>
      <c r="S448" s="167">
        <v>53828.660442902132</v>
      </c>
      <c r="T448" s="167">
        <v>54224.195842507746</v>
      </c>
      <c r="U448" s="167">
        <v>54609.834120488216</v>
      </c>
      <c r="V448" s="167">
        <v>54984.625467686375</v>
      </c>
      <c r="W448" s="167">
        <v>55347.571993805097</v>
      </c>
      <c r="X448" s="167">
        <v>55697.625697367148</v>
      </c>
      <c r="Y448"/>
      <c r="Z448"/>
      <c r="AA448"/>
      <c r="AB448"/>
      <c r="AC448"/>
      <c r="AD448"/>
      <c r="AE448"/>
      <c r="AF448"/>
      <c r="AG448"/>
    </row>
    <row r="449" spans="1:33" ht="12.75">
      <c r="A449" s="168" t="s">
        <v>431</v>
      </c>
      <c r="B449" s="581">
        <f>NPV(0.1,D449:Y449)</f>
        <v>187475.58440014804</v>
      </c>
      <c r="C449" s="581">
        <f>B449-B439</f>
        <v>0.50765772012528032</v>
      </c>
      <c r="D449" s="585">
        <v>19203.942543757592</v>
      </c>
      <c r="E449" s="586">
        <v>21192.874234893377</v>
      </c>
      <c r="F449" s="586">
        <v>21511.160614714117</v>
      </c>
      <c r="G449" s="586">
        <v>21595.940103946697</v>
      </c>
      <c r="H449" s="586">
        <v>17727.37546075898</v>
      </c>
      <c r="I449" s="586">
        <v>21864.593903066256</v>
      </c>
      <c r="J449" s="586">
        <v>21977.187470612302</v>
      </c>
      <c r="K449" s="586">
        <v>22088.517791955281</v>
      </c>
      <c r="L449" s="586">
        <v>22204.161963338527</v>
      </c>
      <c r="M449" s="586">
        <v>22324.221353539775</v>
      </c>
      <c r="N449" s="586">
        <v>22443.42306555</v>
      </c>
      <c r="O449" s="587">
        <v>23349.719367379108</v>
      </c>
      <c r="P449" s="167">
        <v>23418.692165348228</v>
      </c>
      <c r="Q449" s="167">
        <v>23476.335864148739</v>
      </c>
      <c r="R449" s="167">
        <v>23539.127844446914</v>
      </c>
      <c r="S449" s="167">
        <v>23611.465079465695</v>
      </c>
      <c r="T449" s="167">
        <v>23661.028597653047</v>
      </c>
      <c r="U449" s="167">
        <v>23699.987112023089</v>
      </c>
      <c r="V449" s="167">
        <v>23744.724512410394</v>
      </c>
      <c r="W449" s="167">
        <v>23893.215370742135</v>
      </c>
      <c r="X449" s="167">
        <v>23770.733634100743</v>
      </c>
      <c r="Y449"/>
      <c r="Z449"/>
      <c r="AA449"/>
      <c r="AB449"/>
      <c r="AC449"/>
      <c r="AD449"/>
      <c r="AE449"/>
      <c r="AF449"/>
      <c r="AG449"/>
    </row>
    <row r="450" spans="1:33" ht="12.75">
      <c r="A450" s="168" t="s">
        <v>34</v>
      </c>
      <c r="B450" s="581">
        <f>NPV(0.1,D450:Y450)</f>
        <v>78817.224684795554</v>
      </c>
      <c r="C450" s="581">
        <f>B450-B440</f>
        <v>-5.4105686033581151</v>
      </c>
      <c r="D450" s="585">
        <v>1618.9612181201089</v>
      </c>
      <c r="E450" s="586">
        <v>4221.404277665637</v>
      </c>
      <c r="F450" s="586">
        <v>4612.0909848730562</v>
      </c>
      <c r="G450" s="586">
        <v>4875.083686212698</v>
      </c>
      <c r="H450" s="586">
        <v>7467.5546866883333</v>
      </c>
      <c r="I450" s="586">
        <v>9640.5572741447795</v>
      </c>
      <c r="J450" s="586">
        <v>10184.78569051185</v>
      </c>
      <c r="K450" s="586">
        <v>10610.159747797581</v>
      </c>
      <c r="L450" s="586">
        <v>11413.245996293655</v>
      </c>
      <c r="M450" s="586">
        <v>11901.396897978262</v>
      </c>
      <c r="N450" s="586">
        <v>12796.866538489045</v>
      </c>
      <c r="O450" s="587">
        <v>12872.619661082592</v>
      </c>
      <c r="P450" s="167">
        <v>13891.846553232486</v>
      </c>
      <c r="Q450" s="167">
        <v>14574.609233983972</v>
      </c>
      <c r="R450" s="167">
        <v>15293.236015183307</v>
      </c>
      <c r="S450" s="167">
        <v>16071.446313133525</v>
      </c>
      <c r="T450" s="167">
        <v>16320.980613369002</v>
      </c>
      <c r="U450" s="167">
        <v>16537.731301823806</v>
      </c>
      <c r="V450" s="167">
        <v>16744.087217881457</v>
      </c>
      <c r="W450" s="167">
        <v>16878.168922425648</v>
      </c>
      <c r="X450" s="167">
        <v>17173.606939680343</v>
      </c>
      <c r="Y450"/>
      <c r="Z450"/>
      <c r="AA450"/>
      <c r="AB450"/>
      <c r="AC450"/>
      <c r="AD450"/>
      <c r="AE450"/>
      <c r="AF450"/>
      <c r="AG450"/>
    </row>
    <row r="451" spans="1:33" ht="12.75">
      <c r="A451" s="168" t="s">
        <v>31</v>
      </c>
      <c r="B451" s="581">
        <f>NPV(0.1,D451:Y451)</f>
        <v>87612.424548789568</v>
      </c>
      <c r="C451" s="581">
        <f>B451-B441</f>
        <v>5.9121428302605636</v>
      </c>
      <c r="D451" s="588">
        <v>2660.936568950498</v>
      </c>
      <c r="E451" s="589">
        <v>4071.023312768074</v>
      </c>
      <c r="F451" s="589">
        <v>6615.9645492448681</v>
      </c>
      <c r="G451" s="589">
        <v>6606.8691831507695</v>
      </c>
      <c r="H451" s="589">
        <v>13968.979021967938</v>
      </c>
      <c r="I451" s="589">
        <v>11852.76922175485</v>
      </c>
      <c r="J451" s="589">
        <v>11500.177590077074</v>
      </c>
      <c r="K451" s="589">
        <v>11410.093074447363</v>
      </c>
      <c r="L451" s="589">
        <v>11429.363860659359</v>
      </c>
      <c r="M451" s="589">
        <v>11308.574952243809</v>
      </c>
      <c r="N451" s="589">
        <v>11288.274950999365</v>
      </c>
      <c r="O451" s="590">
        <v>11729.776267249625</v>
      </c>
      <c r="P451" s="167">
        <v>10850.901465625717</v>
      </c>
      <c r="Q451" s="167">
        <v>10639.091876843506</v>
      </c>
      <c r="R451" s="167">
        <v>10402.720045843729</v>
      </c>
      <c r="S451" s="167">
        <v>20546.748102109003</v>
      </c>
      <c r="T451" s="167">
        <v>19011.788042669643</v>
      </c>
      <c r="U451" s="167">
        <v>19178.346427599528</v>
      </c>
      <c r="V451" s="167">
        <v>19384.702343657176</v>
      </c>
      <c r="W451" s="167">
        <v>19616.83036935089</v>
      </c>
      <c r="X451" s="167">
        <v>19634.470476681941</v>
      </c>
      <c r="Y451"/>
      <c r="Z451"/>
      <c r="AA451"/>
      <c r="AB451"/>
      <c r="AC451"/>
      <c r="AD451"/>
      <c r="AE451"/>
      <c r="AF451"/>
      <c r="AG451"/>
    </row>
    <row r="452" spans="1:33" ht="12.75">
      <c r="A452" s="163"/>
      <c r="B452" s="163"/>
      <c r="C452" s="163"/>
      <c r="D452"/>
      <c r="E452"/>
      <c r="F452"/>
      <c r="G452"/>
      <c r="H452"/>
      <c r="I452"/>
      <c r="J452"/>
      <c r="K452"/>
      <c r="L452"/>
      <c r="M452"/>
      <c r="N452"/>
      <c r="O452"/>
      <c r="P452"/>
      <c r="Q452"/>
      <c r="R452"/>
      <c r="S452"/>
      <c r="T452"/>
      <c r="U452"/>
      <c r="V452"/>
      <c r="W452"/>
      <c r="X452"/>
      <c r="Y452"/>
      <c r="Z452"/>
      <c r="AA452"/>
      <c r="AB452"/>
      <c r="AC452"/>
      <c r="AD452"/>
      <c r="AE452"/>
      <c r="AF452"/>
      <c r="AG452"/>
    </row>
    <row r="453" spans="1:33" ht="12.75">
      <c r="A453" s="169" t="s">
        <v>678</v>
      </c>
      <c r="B453" s="163"/>
      <c r="C453" s="163"/>
      <c r="D453"/>
      <c r="E453"/>
      <c r="F453"/>
      <c r="G453"/>
      <c r="H453"/>
      <c r="I453"/>
      <c r="J453"/>
      <c r="K453"/>
      <c r="L453"/>
      <c r="M453"/>
      <c r="N453"/>
      <c r="O453"/>
      <c r="P453"/>
      <c r="Q453"/>
      <c r="R453"/>
      <c r="S453"/>
      <c r="T453"/>
      <c r="U453"/>
      <c r="V453"/>
      <c r="W453"/>
      <c r="X453"/>
      <c r="Y453"/>
      <c r="Z453"/>
      <c r="AA453"/>
      <c r="AB453"/>
      <c r="AC453"/>
      <c r="AD453"/>
      <c r="AE453"/>
      <c r="AF453"/>
      <c r="AG453"/>
    </row>
    <row r="454" spans="1:33" ht="12.75">
      <c r="A454" s="416">
        <v>36293</v>
      </c>
      <c r="B454" s="163"/>
      <c r="C454" s="163"/>
      <c r="D454"/>
      <c r="E454"/>
      <c r="F454"/>
      <c r="G454"/>
      <c r="H454"/>
      <c r="I454"/>
      <c r="J454"/>
      <c r="K454"/>
      <c r="L454"/>
      <c r="M454"/>
      <c r="N454"/>
      <c r="O454"/>
      <c r="P454"/>
      <c r="Q454"/>
      <c r="R454"/>
      <c r="S454"/>
      <c r="T454"/>
      <c r="U454"/>
      <c r="V454"/>
      <c r="W454"/>
      <c r="X454"/>
      <c r="Y454"/>
      <c r="Z454"/>
      <c r="AA454"/>
      <c r="AB454"/>
      <c r="AC454"/>
      <c r="AD454"/>
      <c r="AE454"/>
      <c r="AF454"/>
      <c r="AG454"/>
    </row>
    <row r="455" spans="1:33" ht="12.75">
      <c r="A455" s="164" t="s">
        <v>427</v>
      </c>
      <c r="B455" s="172">
        <v>22589.976835446436</v>
      </c>
      <c r="C455" s="163"/>
      <c r="D455"/>
      <c r="E455"/>
      <c r="F455"/>
      <c r="G455"/>
      <c r="H455"/>
      <c r="I455"/>
      <c r="J455"/>
      <c r="K455"/>
      <c r="L455"/>
      <c r="M455"/>
      <c r="N455"/>
      <c r="O455"/>
      <c r="P455"/>
      <c r="Q455"/>
      <c r="R455"/>
      <c r="S455"/>
      <c r="T455"/>
      <c r="U455"/>
      <c r="V455"/>
      <c r="W455"/>
      <c r="X455"/>
      <c r="Y455"/>
      <c r="Z455"/>
      <c r="AA455"/>
      <c r="AB455"/>
      <c r="AC455"/>
      <c r="AD455"/>
      <c r="AE455"/>
      <c r="AF455"/>
      <c r="AG455"/>
    </row>
    <row r="456" spans="1:33" ht="12.75">
      <c r="A456" s="165" t="s">
        <v>428</v>
      </c>
      <c r="B456" s="173">
        <v>50240.249439653853</v>
      </c>
      <c r="C456" s="163"/>
      <c r="D456"/>
      <c r="E456"/>
      <c r="F456"/>
      <c r="G456"/>
      <c r="H456"/>
      <c r="I456"/>
      <c r="J456"/>
      <c r="K456"/>
      <c r="L456"/>
      <c r="M456"/>
      <c r="N456"/>
      <c r="O456"/>
      <c r="P456"/>
      <c r="Q456"/>
      <c r="R456"/>
      <c r="S456"/>
      <c r="T456"/>
      <c r="U456"/>
      <c r="V456"/>
      <c r="W456"/>
      <c r="X456"/>
      <c r="Y456"/>
      <c r="Z456"/>
      <c r="AA456"/>
      <c r="AB456"/>
      <c r="AC456"/>
      <c r="AD456"/>
      <c r="AE456"/>
      <c r="AF456"/>
      <c r="AG456"/>
    </row>
    <row r="457" spans="1:33" ht="12.75">
      <c r="A457" s="166" t="s">
        <v>429</v>
      </c>
      <c r="B457" s="580" t="s">
        <v>499</v>
      </c>
      <c r="C457" s="580" t="s">
        <v>500</v>
      </c>
      <c r="D457" s="582">
        <v>1999</v>
      </c>
      <c r="E457" s="583">
        <v>2000</v>
      </c>
      <c r="F457" s="583">
        <v>2001</v>
      </c>
      <c r="G457" s="583">
        <v>2002</v>
      </c>
      <c r="H457" s="583">
        <v>2003</v>
      </c>
      <c r="I457" s="583">
        <v>2004</v>
      </c>
      <c r="J457" s="583">
        <v>2005</v>
      </c>
      <c r="K457" s="583">
        <v>2006</v>
      </c>
      <c r="L457" s="583">
        <v>2007</v>
      </c>
      <c r="M457" s="583">
        <v>2008</v>
      </c>
      <c r="N457" s="583">
        <v>2009</v>
      </c>
      <c r="O457" s="584">
        <v>2010</v>
      </c>
      <c r="P457" s="171">
        <v>2011</v>
      </c>
      <c r="Q457" s="171">
        <v>2012</v>
      </c>
      <c r="R457" s="171">
        <v>2013</v>
      </c>
      <c r="S457" s="171">
        <v>2014</v>
      </c>
      <c r="T457" s="171">
        <v>2015</v>
      </c>
      <c r="U457" s="171">
        <v>2016</v>
      </c>
      <c r="V457" s="171">
        <v>2017</v>
      </c>
      <c r="W457" s="171">
        <v>2018</v>
      </c>
      <c r="X457" s="171">
        <v>2019</v>
      </c>
      <c r="Y457"/>
      <c r="Z457"/>
      <c r="AA457"/>
      <c r="AB457"/>
      <c r="AC457"/>
      <c r="AD457"/>
      <c r="AE457"/>
      <c r="AF457"/>
      <c r="AG457"/>
    </row>
    <row r="458" spans="1:33" ht="12.75">
      <c r="A458" s="166" t="s">
        <v>430</v>
      </c>
      <c r="B458" s="581">
        <f>NPV(0.1,D458:Y458)</f>
        <v>385196.63380079047</v>
      </c>
      <c r="C458" s="581">
        <f>B458-B448</f>
        <v>-4379.4086661731126</v>
      </c>
      <c r="D458" s="585">
        <v>26898.216959999994</v>
      </c>
      <c r="E458" s="586">
        <v>40079.915814977372</v>
      </c>
      <c r="F458" s="586">
        <v>40673.161342217194</v>
      </c>
      <c r="G458" s="586">
        <v>40731.64097768371</v>
      </c>
      <c r="H458" s="586">
        <v>40720.399815461329</v>
      </c>
      <c r="I458" s="586">
        <v>47935.027842670614</v>
      </c>
      <c r="J458" s="586">
        <v>48339.398634864941</v>
      </c>
      <c r="K458" s="586">
        <v>48739.706698329624</v>
      </c>
      <c r="L458" s="586">
        <v>49708.012939375512</v>
      </c>
      <c r="M458" s="586">
        <v>50115.519705792773</v>
      </c>
      <c r="N458" s="586">
        <v>51125.100337062562</v>
      </c>
      <c r="O458" s="587">
        <v>51539.197941903163</v>
      </c>
      <c r="P458" s="167">
        <v>52591.488920256263</v>
      </c>
      <c r="Q458" s="167">
        <v>53011.468762469813</v>
      </c>
      <c r="R458" s="167">
        <v>53424.131603985064</v>
      </c>
      <c r="S458" s="167">
        <v>53828.660442902132</v>
      </c>
      <c r="T458" s="167">
        <v>54224.195842507746</v>
      </c>
      <c r="U458" s="167">
        <v>54609.834120488216</v>
      </c>
      <c r="V458" s="167">
        <v>54984.625467686375</v>
      </c>
      <c r="W458" s="167">
        <v>55347.571993805097</v>
      </c>
      <c r="X458" s="167">
        <v>23288.906959635722</v>
      </c>
      <c r="Y458"/>
      <c r="Z458"/>
      <c r="AA458"/>
      <c r="AB458"/>
      <c r="AC458"/>
      <c r="AD458"/>
      <c r="AE458"/>
      <c r="AF458"/>
      <c r="AG458"/>
    </row>
    <row r="459" spans="1:33" ht="12.75">
      <c r="A459" s="168" t="s">
        <v>431</v>
      </c>
      <c r="B459" s="581">
        <f>NPV(0.1,D459:Y459)</f>
        <v>185862.86629136</v>
      </c>
      <c r="C459" s="581">
        <f>B459-B449</f>
        <v>-1612.7181087880454</v>
      </c>
      <c r="D459" s="585">
        <v>19203.942543757592</v>
      </c>
      <c r="E459" s="586">
        <v>21192.874234893377</v>
      </c>
      <c r="F459" s="586">
        <v>21511.160614714117</v>
      </c>
      <c r="G459" s="586">
        <v>21595.940103946697</v>
      </c>
      <c r="H459" s="586">
        <v>17727.37546075898</v>
      </c>
      <c r="I459" s="586">
        <v>21864.593903066256</v>
      </c>
      <c r="J459" s="586">
        <v>21977.187470612302</v>
      </c>
      <c r="K459" s="586">
        <v>22088.517791955281</v>
      </c>
      <c r="L459" s="586">
        <v>22204.161963338527</v>
      </c>
      <c r="M459" s="586">
        <v>22324.221353539775</v>
      </c>
      <c r="N459" s="586">
        <v>22443.42306555</v>
      </c>
      <c r="O459" s="587">
        <v>23349.719367379108</v>
      </c>
      <c r="P459" s="167">
        <v>23418.692165348228</v>
      </c>
      <c r="Q459" s="167">
        <v>23476.335864148739</v>
      </c>
      <c r="R459" s="167">
        <v>23539.127844446914</v>
      </c>
      <c r="S459" s="167">
        <v>23611.465079465695</v>
      </c>
      <c r="T459" s="167">
        <v>23661.028597653047</v>
      </c>
      <c r="U459" s="167">
        <v>23699.987112023089</v>
      </c>
      <c r="V459" s="167">
        <v>23744.724512410394</v>
      </c>
      <c r="W459" s="167">
        <v>23893.215370742135</v>
      </c>
      <c r="X459" s="167">
        <v>11836.216539437959</v>
      </c>
      <c r="Y459"/>
      <c r="Z459"/>
      <c r="AA459"/>
      <c r="AB459"/>
      <c r="AC459"/>
      <c r="AD459"/>
      <c r="AE459"/>
      <c r="AF459"/>
      <c r="AG459"/>
    </row>
    <row r="460" spans="1:33" ht="12.75">
      <c r="A460" s="168" t="s">
        <v>34</v>
      </c>
      <c r="B460" s="581">
        <f>NPV(0.1,D460:Y460)</f>
        <v>77087.437872870447</v>
      </c>
      <c r="C460" s="581">
        <f>B460-B450</f>
        <v>-1729.786811925107</v>
      </c>
      <c r="D460" s="585">
        <v>1618.9612181201089</v>
      </c>
      <c r="E460" s="586">
        <v>4221.404277665637</v>
      </c>
      <c r="F460" s="586">
        <v>4612.0909848730562</v>
      </c>
      <c r="G460" s="586">
        <v>4875.083686212698</v>
      </c>
      <c r="H460" s="586">
        <v>7467.5546866883333</v>
      </c>
      <c r="I460" s="586">
        <v>9640.5572741447795</v>
      </c>
      <c r="J460" s="586">
        <v>10184.78569051185</v>
      </c>
      <c r="K460" s="586">
        <v>10610.159747797581</v>
      </c>
      <c r="L460" s="586">
        <v>11413.245996293655</v>
      </c>
      <c r="M460" s="586">
        <v>11901.396897978262</v>
      </c>
      <c r="N460" s="586">
        <v>12796.866538489045</v>
      </c>
      <c r="O460" s="587">
        <v>12872.619661082592</v>
      </c>
      <c r="P460" s="167">
        <v>13891.846553232486</v>
      </c>
      <c r="Q460" s="167">
        <v>14574.609233983972</v>
      </c>
      <c r="R460" s="167">
        <v>15293.236015183307</v>
      </c>
      <c r="S460" s="167">
        <v>16071.446313133525</v>
      </c>
      <c r="T460" s="167">
        <v>16320.980613369002</v>
      </c>
      <c r="U460" s="167">
        <v>16537.731301823806</v>
      </c>
      <c r="V460" s="167">
        <v>16744.087217881457</v>
      </c>
      <c r="W460" s="167">
        <v>16878.168922425648</v>
      </c>
      <c r="X460" s="167">
        <v>4372.7521811530205</v>
      </c>
      <c r="Y460"/>
      <c r="Z460"/>
      <c r="AA460"/>
      <c r="AB460"/>
      <c r="AC460"/>
      <c r="AD460"/>
      <c r="AE460"/>
      <c r="AF460"/>
      <c r="AG460"/>
    </row>
    <row r="461" spans="1:33" ht="12.75">
      <c r="A461" s="168" t="s">
        <v>31</v>
      </c>
      <c r="B461" s="581">
        <f>NPV(0.1,D461:Y461)</f>
        <v>85926.801254713209</v>
      </c>
      <c r="C461" s="581">
        <f>B461-B451</f>
        <v>-1685.6232940763584</v>
      </c>
      <c r="D461" s="588">
        <v>2660.936568950498</v>
      </c>
      <c r="E461" s="589">
        <v>4071.023312768074</v>
      </c>
      <c r="F461" s="589">
        <v>6615.9645492448681</v>
      </c>
      <c r="G461" s="589">
        <v>6606.8691831507695</v>
      </c>
      <c r="H461" s="589">
        <v>13968.979021967938</v>
      </c>
      <c r="I461" s="589">
        <v>11852.76922175485</v>
      </c>
      <c r="J461" s="589">
        <v>11500.177590077074</v>
      </c>
      <c r="K461" s="589">
        <v>11410.093074447363</v>
      </c>
      <c r="L461" s="589">
        <v>11429.363860659359</v>
      </c>
      <c r="M461" s="589">
        <v>11308.574952243809</v>
      </c>
      <c r="N461" s="589">
        <v>11288.274950999365</v>
      </c>
      <c r="O461" s="590">
        <v>11729.776267249625</v>
      </c>
      <c r="P461" s="167">
        <v>10850.901465625717</v>
      </c>
      <c r="Q461" s="167">
        <v>10639.091876843506</v>
      </c>
      <c r="R461" s="167">
        <v>10402.720045843729</v>
      </c>
      <c r="S461" s="167">
        <v>20546.748102109003</v>
      </c>
      <c r="T461" s="167">
        <v>19011.788042669643</v>
      </c>
      <c r="U461" s="167">
        <v>19178.346427599528</v>
      </c>
      <c r="V461" s="167">
        <v>19384.702343657176</v>
      </c>
      <c r="W461" s="167">
        <v>19616.83036935089</v>
      </c>
      <c r="X461" s="167">
        <v>7160.4367886530199</v>
      </c>
      <c r="Y461"/>
      <c r="Z461"/>
      <c r="AA461"/>
      <c r="AB461"/>
      <c r="AC461"/>
      <c r="AD461"/>
      <c r="AE461"/>
      <c r="AF461"/>
      <c r="AG461"/>
    </row>
    <row r="462" spans="1:33" ht="12.75">
      <c r="A462" s="163"/>
      <c r="B462" s="163"/>
      <c r="C462" s="163"/>
      <c r="D462"/>
      <c r="E462"/>
      <c r="F462"/>
      <c r="G462"/>
      <c r="H462"/>
      <c r="I462"/>
      <c r="J462"/>
      <c r="K462"/>
      <c r="L462"/>
      <c r="M462"/>
      <c r="N462"/>
      <c r="O462"/>
      <c r="P462"/>
      <c r="Q462"/>
      <c r="R462"/>
      <c r="S462"/>
      <c r="T462"/>
      <c r="U462"/>
      <c r="V462"/>
      <c r="W462"/>
      <c r="X462"/>
      <c r="Y462"/>
      <c r="Z462"/>
      <c r="AA462"/>
      <c r="AB462"/>
      <c r="AC462"/>
      <c r="AD462"/>
      <c r="AE462"/>
      <c r="AF462"/>
      <c r="AG462"/>
    </row>
    <row r="463" spans="1:33" ht="12.75">
      <c r="A463" s="169" t="s">
        <v>679</v>
      </c>
      <c r="B463" s="163"/>
      <c r="C463" s="163"/>
      <c r="D463"/>
      <c r="E463"/>
      <c r="F463"/>
      <c r="G463"/>
      <c r="H463"/>
      <c r="I463"/>
      <c r="J463"/>
      <c r="K463"/>
      <c r="L463"/>
      <c r="M463"/>
      <c r="N463"/>
      <c r="O463"/>
      <c r="P463"/>
      <c r="Q463"/>
      <c r="R463"/>
      <c r="S463"/>
      <c r="T463"/>
      <c r="U463"/>
      <c r="V463"/>
      <c r="W463"/>
      <c r="X463"/>
      <c r="Y463"/>
      <c r="Z463"/>
      <c r="AA463"/>
      <c r="AB463"/>
      <c r="AC463"/>
      <c r="AD463"/>
      <c r="AE463"/>
      <c r="AF463"/>
      <c r="AG463"/>
    </row>
    <row r="464" spans="1:33" ht="12.75">
      <c r="A464" s="416">
        <v>36298</v>
      </c>
      <c r="B464" s="163"/>
      <c r="C464" s="163"/>
      <c r="D464"/>
      <c r="E464"/>
      <c r="F464"/>
      <c r="G464"/>
      <c r="H464"/>
      <c r="I464"/>
      <c r="J464"/>
      <c r="K464"/>
      <c r="L464"/>
      <c r="M464"/>
      <c r="N464"/>
      <c r="O464"/>
      <c r="P464"/>
      <c r="Q464"/>
      <c r="R464"/>
      <c r="S464"/>
      <c r="T464"/>
      <c r="U464"/>
      <c r="V464"/>
      <c r="W464"/>
      <c r="X464"/>
      <c r="Y464"/>
      <c r="Z464"/>
      <c r="AA464"/>
      <c r="AB464"/>
      <c r="AC464"/>
      <c r="AD464"/>
      <c r="AE464"/>
      <c r="AF464"/>
      <c r="AG464"/>
    </row>
    <row r="465" spans="1:33" ht="12.75">
      <c r="A465" s="164" t="s">
        <v>427</v>
      </c>
      <c r="B465" s="172">
        <v>22277.455905117415</v>
      </c>
      <c r="C465" s="163"/>
      <c r="D465"/>
      <c r="E465"/>
      <c r="F465"/>
      <c r="G465"/>
      <c r="H465"/>
      <c r="I465"/>
      <c r="J465"/>
      <c r="K465"/>
      <c r="L465"/>
      <c r="M465"/>
      <c r="N465"/>
      <c r="O465"/>
      <c r="P465"/>
      <c r="Q465"/>
      <c r="R465"/>
      <c r="S465"/>
      <c r="T465"/>
      <c r="U465"/>
      <c r="V465"/>
      <c r="W465"/>
      <c r="X465"/>
      <c r="Y465"/>
      <c r="Z465"/>
      <c r="AA465"/>
      <c r="AB465"/>
      <c r="AC465"/>
      <c r="AD465"/>
      <c r="AE465"/>
      <c r="AF465"/>
      <c r="AG465"/>
    </row>
    <row r="466" spans="1:33" ht="12.75">
      <c r="A466" s="165" t="s">
        <v>428</v>
      </c>
      <c r="B466" s="173">
        <v>49866.392563560563</v>
      </c>
      <c r="C466" s="163"/>
      <c r="D466"/>
      <c r="E466"/>
      <c r="F466"/>
      <c r="G466"/>
      <c r="H466"/>
      <c r="I466"/>
      <c r="J466"/>
      <c r="K466"/>
      <c r="L466"/>
      <c r="M466"/>
      <c r="N466"/>
      <c r="O466"/>
      <c r="P466"/>
      <c r="Q466"/>
      <c r="R466"/>
      <c r="S466"/>
      <c r="T466"/>
      <c r="U466"/>
      <c r="V466"/>
      <c r="W466"/>
      <c r="X466"/>
      <c r="Y466"/>
      <c r="Z466"/>
      <c r="AA466"/>
      <c r="AB466"/>
      <c r="AC466"/>
      <c r="AD466"/>
      <c r="AE466"/>
      <c r="AF466"/>
      <c r="AG466"/>
    </row>
    <row r="467" spans="1:33" ht="12.75">
      <c r="A467" s="166" t="s">
        <v>429</v>
      </c>
      <c r="B467" s="580" t="s">
        <v>499</v>
      </c>
      <c r="C467" s="580" t="s">
        <v>500</v>
      </c>
      <c r="D467" s="582">
        <v>1999</v>
      </c>
      <c r="E467" s="583">
        <v>2000</v>
      </c>
      <c r="F467" s="583">
        <v>2001</v>
      </c>
      <c r="G467" s="583">
        <v>2002</v>
      </c>
      <c r="H467" s="583">
        <v>2003</v>
      </c>
      <c r="I467" s="583">
        <v>2004</v>
      </c>
      <c r="J467" s="583">
        <v>2005</v>
      </c>
      <c r="K467" s="583">
        <v>2006</v>
      </c>
      <c r="L467" s="583">
        <v>2007</v>
      </c>
      <c r="M467" s="583">
        <v>2008</v>
      </c>
      <c r="N467" s="583">
        <v>2009</v>
      </c>
      <c r="O467" s="584">
        <v>2010</v>
      </c>
      <c r="P467" s="171">
        <v>2011</v>
      </c>
      <c r="Q467" s="171">
        <v>2012</v>
      </c>
      <c r="R467" s="171">
        <v>2013</v>
      </c>
      <c r="S467" s="171">
        <v>2014</v>
      </c>
      <c r="T467" s="171">
        <v>2015</v>
      </c>
      <c r="U467" s="171">
        <v>2016</v>
      </c>
      <c r="V467" s="171">
        <v>2017</v>
      </c>
      <c r="W467" s="171">
        <v>2018</v>
      </c>
      <c r="X467" s="171">
        <v>2019</v>
      </c>
      <c r="Y467"/>
      <c r="Z467"/>
      <c r="AA467"/>
      <c r="AB467"/>
      <c r="AC467"/>
      <c r="AD467"/>
      <c r="AE467"/>
      <c r="AF467"/>
      <c r="AG467"/>
    </row>
    <row r="468" spans="1:33" ht="12.75">
      <c r="A468" s="166" t="s">
        <v>430</v>
      </c>
      <c r="B468" s="581">
        <f>NPV(0.1,D468:Y468)</f>
        <v>385196.63380079047</v>
      </c>
      <c r="C468" s="581">
        <f>B468-B458</f>
        <v>0</v>
      </c>
      <c r="D468" s="585">
        <v>26898.216959999994</v>
      </c>
      <c r="E468" s="586">
        <v>40079.915814977372</v>
      </c>
      <c r="F468" s="586">
        <v>40673.161342217194</v>
      </c>
      <c r="G468" s="586">
        <v>40731.64097768371</v>
      </c>
      <c r="H468" s="586">
        <v>40720.399815461329</v>
      </c>
      <c r="I468" s="586">
        <v>47935.027842670614</v>
      </c>
      <c r="J468" s="586">
        <v>48339.398634864941</v>
      </c>
      <c r="K468" s="586">
        <v>48739.706698329624</v>
      </c>
      <c r="L468" s="586">
        <v>49708.012939375512</v>
      </c>
      <c r="M468" s="586">
        <v>50115.519705792773</v>
      </c>
      <c r="N468" s="586">
        <v>51125.100337062562</v>
      </c>
      <c r="O468" s="587">
        <v>51539.197941903163</v>
      </c>
      <c r="P468" s="167">
        <v>52591.488920256263</v>
      </c>
      <c r="Q468" s="167">
        <v>53011.468762469813</v>
      </c>
      <c r="R468" s="167">
        <v>53424.131603985064</v>
      </c>
      <c r="S468" s="167">
        <v>53828.660442902132</v>
      </c>
      <c r="T468" s="167">
        <v>54224.195842507746</v>
      </c>
      <c r="U468" s="167">
        <v>54609.834120488216</v>
      </c>
      <c r="V468" s="167">
        <v>54984.625467686375</v>
      </c>
      <c r="W468" s="167">
        <v>55347.571993805097</v>
      </c>
      <c r="X468" s="167">
        <v>23288.906959635722</v>
      </c>
      <c r="Y468"/>
      <c r="Z468"/>
      <c r="AA468"/>
      <c r="AB468"/>
      <c r="AC468"/>
      <c r="AD468"/>
      <c r="AE468"/>
      <c r="AF468"/>
      <c r="AG468"/>
    </row>
    <row r="469" spans="1:33" ht="12.75">
      <c r="A469" s="168" t="s">
        <v>431</v>
      </c>
      <c r="B469" s="581">
        <f>NPV(0.1,D469:Y469)</f>
        <v>185852.0491559775</v>
      </c>
      <c r="C469" s="581">
        <f>B469-B459</f>
        <v>-10.817135382501874</v>
      </c>
      <c r="D469" s="585">
        <v>19204.894026280163</v>
      </c>
      <c r="E469" s="586">
        <v>21191.810349026597</v>
      </c>
      <c r="F469" s="586">
        <v>21510.118730803697</v>
      </c>
      <c r="G469" s="586">
        <v>21594.920223598245</v>
      </c>
      <c r="H469" s="586">
        <v>17726.240858253328</v>
      </c>
      <c r="I469" s="586">
        <v>21863.459077108455</v>
      </c>
      <c r="J469" s="586">
        <v>21976.053630185404</v>
      </c>
      <c r="K469" s="586">
        <v>22087.40507238713</v>
      </c>
      <c r="L469" s="586">
        <v>22203.070401264977</v>
      </c>
      <c r="M469" s="586">
        <v>22323.150912324978</v>
      </c>
      <c r="N469" s="586">
        <v>22442.393953793497</v>
      </c>
      <c r="O469" s="587">
        <v>23345.82678567226</v>
      </c>
      <c r="P469" s="167">
        <v>23415.062804700377</v>
      </c>
      <c r="Q469" s="167">
        <v>23473.030203815139</v>
      </c>
      <c r="R469" s="167">
        <v>23536.145921063417</v>
      </c>
      <c r="S469" s="167">
        <v>23608.817700608044</v>
      </c>
      <c r="T469" s="167">
        <v>23658.847602679198</v>
      </c>
      <c r="U469" s="167">
        <v>23698.333016824141</v>
      </c>
      <c r="V469" s="167">
        <v>23743.597316986346</v>
      </c>
      <c r="W469" s="167">
        <v>23892.251979746383</v>
      </c>
      <c r="X469" s="167">
        <v>11835.235405197211</v>
      </c>
      <c r="Y469"/>
      <c r="Z469"/>
      <c r="AA469"/>
      <c r="AB469"/>
      <c r="AC469"/>
      <c r="AD469"/>
      <c r="AE469"/>
      <c r="AF469"/>
      <c r="AG469"/>
    </row>
    <row r="470" spans="1:33" ht="12.75">
      <c r="A470" s="168" t="s">
        <v>34</v>
      </c>
      <c r="B470" s="581">
        <f>NPV(0.1,D470:Y470)</f>
        <v>77034.931911063963</v>
      </c>
      <c r="C470" s="581">
        <f>B470-B460</f>
        <v>-52.505961806484265</v>
      </c>
      <c r="D470" s="585">
        <v>1615.3094780545252</v>
      </c>
      <c r="E470" s="586">
        <v>4214.6949072466641</v>
      </c>
      <c r="F470" s="586">
        <v>4605.3803151901047</v>
      </c>
      <c r="G470" s="586">
        <v>4868.3719797076355</v>
      </c>
      <c r="H470" s="586">
        <v>7460.9199992755166</v>
      </c>
      <c r="I470" s="586">
        <v>9633.9254050500967</v>
      </c>
      <c r="J470" s="586">
        <v>10178.156102560777</v>
      </c>
      <c r="K470" s="586">
        <v>10603.520064316799</v>
      </c>
      <c r="L470" s="586">
        <v>11406.596025799749</v>
      </c>
      <c r="M470" s="586">
        <v>11894.736480588495</v>
      </c>
      <c r="N470" s="586">
        <v>12790.182842720787</v>
      </c>
      <c r="O470" s="587">
        <v>12867.728210246918</v>
      </c>
      <c r="P470" s="167">
        <v>13886.849219637483</v>
      </c>
      <c r="Q470" s="167">
        <v>14569.467698655721</v>
      </c>
      <c r="R470" s="167">
        <v>15287.948513439977</v>
      </c>
      <c r="S470" s="167">
        <v>16066.004206033684</v>
      </c>
      <c r="T470" s="167">
        <v>16315.246914320307</v>
      </c>
      <c r="U470" s="167">
        <v>16531.668175156476</v>
      </c>
      <c r="V470" s="167">
        <v>16737.694663595488</v>
      </c>
      <c r="W470" s="167">
        <v>16871.673954539772</v>
      </c>
      <c r="X470" s="167">
        <v>4366.268306676604</v>
      </c>
      <c r="Y470"/>
      <c r="Z470"/>
      <c r="AA470"/>
      <c r="AB470"/>
      <c r="AC470"/>
      <c r="AD470"/>
      <c r="AE470"/>
      <c r="AF470"/>
      <c r="AG470"/>
    </row>
    <row r="471" spans="1:33" ht="12.75">
      <c r="A471" s="168" t="s">
        <v>31</v>
      </c>
      <c r="B471" s="581">
        <f>NPV(0.1,D471:Y471)</f>
        <v>85997.383318655353</v>
      </c>
      <c r="C471" s="581">
        <f>B471-B461</f>
        <v>70.582063942143577</v>
      </c>
      <c r="D471" s="588">
        <v>2660.6075145781097</v>
      </c>
      <c r="E471" s="589">
        <v>4069.3892104836732</v>
      </c>
      <c r="F471" s="589">
        <v>6616.3653124705515</v>
      </c>
      <c r="G471" s="589">
        <v>6607.2623368112745</v>
      </c>
      <c r="H471" s="589">
        <v>14024.356990525263</v>
      </c>
      <c r="I471" s="589">
        <v>11862.346099398559</v>
      </c>
      <c r="J471" s="589">
        <v>11509.26885784703</v>
      </c>
      <c r="K471" s="589">
        <v>11419.212536057588</v>
      </c>
      <c r="L471" s="589">
        <v>11438.46208108158</v>
      </c>
      <c r="M471" s="589">
        <v>11317.681361634168</v>
      </c>
      <c r="N471" s="589">
        <v>11297.376033676952</v>
      </c>
      <c r="O471" s="590">
        <v>11736.62366072093</v>
      </c>
      <c r="P471" s="167">
        <v>10860.773059754654</v>
      </c>
      <c r="Q471" s="167">
        <v>10648.929849770799</v>
      </c>
      <c r="R471" s="167">
        <v>10412.435491992432</v>
      </c>
      <c r="S471" s="167">
        <v>20553.090328669157</v>
      </c>
      <c r="T471" s="167">
        <v>19013.636982100947</v>
      </c>
      <c r="U471" s="167">
        <v>19179.926606972196</v>
      </c>
      <c r="V471" s="167">
        <v>19385.953095411205</v>
      </c>
      <c r="W471" s="167">
        <v>19617.614702145012</v>
      </c>
      <c r="X471" s="167">
        <v>7161.0502121766031</v>
      </c>
      <c r="Y471"/>
      <c r="Z471"/>
      <c r="AA471"/>
      <c r="AB471"/>
      <c r="AC471"/>
      <c r="AD471"/>
      <c r="AE471"/>
      <c r="AF471"/>
      <c r="AG471"/>
    </row>
    <row r="472" spans="1:33" ht="12.75">
      <c r="A472" s="163"/>
      <c r="B472" s="163"/>
      <c r="C472" s="163"/>
      <c r="D472"/>
      <c r="E472"/>
      <c r="F472"/>
      <c r="G472"/>
      <c r="H472"/>
      <c r="I472"/>
      <c r="J472"/>
      <c r="K472"/>
      <c r="L472"/>
      <c r="M472"/>
      <c r="N472"/>
      <c r="O472"/>
      <c r="P472"/>
      <c r="Q472"/>
      <c r="R472"/>
      <c r="S472"/>
      <c r="T472"/>
      <c r="U472"/>
      <c r="V472"/>
      <c r="W472"/>
      <c r="X472"/>
      <c r="Y472"/>
      <c r="Z472"/>
      <c r="AA472"/>
      <c r="AB472"/>
      <c r="AC472"/>
      <c r="AD472"/>
      <c r="AE472"/>
      <c r="AF472"/>
      <c r="AG472"/>
    </row>
    <row r="473" spans="1:33" ht="12.75">
      <c r="A473" s="169" t="s">
        <v>680</v>
      </c>
      <c r="B473" s="163"/>
      <c r="C473" s="163"/>
      <c r="D473"/>
      <c r="E473"/>
      <c r="F473"/>
      <c r="G473"/>
      <c r="H473"/>
      <c r="I473"/>
      <c r="J473"/>
      <c r="K473"/>
      <c r="L473"/>
      <c r="M473"/>
      <c r="N473"/>
      <c r="O473"/>
      <c r="P473"/>
      <c r="Q473"/>
      <c r="R473"/>
      <c r="S473"/>
      <c r="T473"/>
      <c r="U473"/>
      <c r="V473"/>
      <c r="W473"/>
      <c r="X473"/>
      <c r="Y473"/>
      <c r="Z473"/>
      <c r="AA473"/>
      <c r="AB473"/>
      <c r="AC473"/>
      <c r="AD473"/>
      <c r="AE473"/>
      <c r="AF473"/>
      <c r="AG473"/>
    </row>
    <row r="474" spans="1:33" ht="12.75">
      <c r="A474" s="416">
        <v>36300</v>
      </c>
      <c r="B474" s="163"/>
      <c r="C474" s="163"/>
      <c r="D474"/>
      <c r="E474"/>
      <c r="F474"/>
      <c r="G474"/>
      <c r="H474"/>
      <c r="I474"/>
      <c r="J474"/>
      <c r="K474"/>
      <c r="L474"/>
      <c r="M474"/>
      <c r="N474"/>
      <c r="O474"/>
      <c r="P474"/>
      <c r="Q474"/>
      <c r="R474"/>
      <c r="S474"/>
      <c r="T474"/>
      <c r="U474"/>
      <c r="V474"/>
      <c r="W474"/>
      <c r="X474"/>
      <c r="Y474"/>
      <c r="Z474"/>
      <c r="AA474"/>
      <c r="AB474"/>
      <c r="AC474"/>
      <c r="AD474"/>
      <c r="AE474"/>
      <c r="AF474"/>
      <c r="AG474"/>
    </row>
    <row r="475" spans="1:33" ht="12.75">
      <c r="A475" s="164" t="s">
        <v>427</v>
      </c>
      <c r="B475" s="172">
        <v>22490.033735874174</v>
      </c>
      <c r="C475" s="163"/>
      <c r="D475"/>
      <c r="E475"/>
      <c r="F475"/>
      <c r="G475"/>
      <c r="H475"/>
      <c r="I475"/>
      <c r="J475"/>
      <c r="K475"/>
      <c r="L475"/>
      <c r="M475"/>
      <c r="N475"/>
      <c r="O475"/>
      <c r="P475"/>
      <c r="Q475"/>
      <c r="R475"/>
      <c r="S475"/>
      <c r="T475"/>
      <c r="U475"/>
      <c r="V475"/>
      <c r="W475"/>
      <c r="X475"/>
      <c r="Y475"/>
      <c r="Z475"/>
      <c r="AA475"/>
      <c r="AB475"/>
      <c r="AC475"/>
      <c r="AD475"/>
      <c r="AE475"/>
      <c r="AF475"/>
      <c r="AG475"/>
    </row>
    <row r="476" spans="1:33" ht="12.75">
      <c r="A476" s="165" t="s">
        <v>428</v>
      </c>
      <c r="B476" s="173">
        <v>50155.700330169151</v>
      </c>
      <c r="C476" s="163"/>
      <c r="D476"/>
      <c r="E476"/>
      <c r="F476"/>
      <c r="G476"/>
      <c r="H476"/>
      <c r="I476"/>
      <c r="J476"/>
      <c r="K476"/>
      <c r="L476"/>
      <c r="M476"/>
      <c r="N476"/>
      <c r="O476"/>
      <c r="P476"/>
      <c r="Q476"/>
      <c r="R476"/>
      <c r="S476"/>
      <c r="T476"/>
      <c r="U476"/>
      <c r="V476"/>
      <c r="W476"/>
      <c r="X476"/>
      <c r="Y476"/>
      <c r="Z476"/>
      <c r="AA476"/>
      <c r="AB476"/>
      <c r="AC476"/>
      <c r="AD476"/>
      <c r="AE476"/>
      <c r="AF476"/>
      <c r="AG476"/>
    </row>
    <row r="477" spans="1:33" ht="12.75">
      <c r="A477" s="166" t="s">
        <v>429</v>
      </c>
      <c r="B477" s="580" t="s">
        <v>499</v>
      </c>
      <c r="C477" s="580" t="s">
        <v>500</v>
      </c>
      <c r="D477" s="582">
        <v>1999</v>
      </c>
      <c r="E477" s="583">
        <v>2000</v>
      </c>
      <c r="F477" s="583">
        <v>2001</v>
      </c>
      <c r="G477" s="583">
        <v>2002</v>
      </c>
      <c r="H477" s="583">
        <v>2003</v>
      </c>
      <c r="I477" s="583">
        <v>2004</v>
      </c>
      <c r="J477" s="583">
        <v>2005</v>
      </c>
      <c r="K477" s="583">
        <v>2006</v>
      </c>
      <c r="L477" s="583">
        <v>2007</v>
      </c>
      <c r="M477" s="583">
        <v>2008</v>
      </c>
      <c r="N477" s="583">
        <v>2009</v>
      </c>
      <c r="O477" s="584">
        <v>2010</v>
      </c>
      <c r="P477" s="171">
        <v>2011</v>
      </c>
      <c r="Q477" s="171">
        <v>2012</v>
      </c>
      <c r="R477" s="171">
        <v>2013</v>
      </c>
      <c r="S477" s="171">
        <v>2014</v>
      </c>
      <c r="T477" s="171">
        <v>2015</v>
      </c>
      <c r="U477" s="171">
        <v>2016</v>
      </c>
      <c r="V477" s="171">
        <v>2017</v>
      </c>
      <c r="W477" s="171">
        <v>2018</v>
      </c>
      <c r="X477" s="171">
        <v>2019</v>
      </c>
      <c r="Y477"/>
      <c r="Z477"/>
      <c r="AA477"/>
      <c r="AB477"/>
      <c r="AC477"/>
      <c r="AD477"/>
      <c r="AE477"/>
      <c r="AF477"/>
      <c r="AG477"/>
    </row>
    <row r="478" spans="1:33" ht="12.75">
      <c r="A478" s="166" t="s">
        <v>430</v>
      </c>
      <c r="B478" s="581">
        <f>NPV(0.1,D478:Y478)</f>
        <v>385196.63380079047</v>
      </c>
      <c r="C478" s="581">
        <f>B478-B468</f>
        <v>0</v>
      </c>
      <c r="D478" s="585">
        <v>26898.216959999994</v>
      </c>
      <c r="E478" s="586">
        <v>40079.915814977372</v>
      </c>
      <c r="F478" s="586">
        <v>40673.161342217194</v>
      </c>
      <c r="G478" s="586">
        <v>40731.64097768371</v>
      </c>
      <c r="H478" s="586">
        <v>40720.399815461329</v>
      </c>
      <c r="I478" s="586">
        <v>47935.027842670614</v>
      </c>
      <c r="J478" s="586">
        <v>48339.398634864941</v>
      </c>
      <c r="K478" s="586">
        <v>48739.706698329624</v>
      </c>
      <c r="L478" s="586">
        <v>49708.012939375512</v>
      </c>
      <c r="M478" s="586">
        <v>50115.519705792773</v>
      </c>
      <c r="N478" s="586">
        <v>51125.100337062562</v>
      </c>
      <c r="O478" s="587">
        <v>51539.197941903163</v>
      </c>
      <c r="P478" s="167">
        <v>52591.488920256263</v>
      </c>
      <c r="Q478" s="167">
        <v>53011.468762469813</v>
      </c>
      <c r="R478" s="167">
        <v>53424.131603985064</v>
      </c>
      <c r="S478" s="167">
        <v>53828.660442902132</v>
      </c>
      <c r="T478" s="167">
        <v>54224.195842507746</v>
      </c>
      <c r="U478" s="167">
        <v>54609.834120488216</v>
      </c>
      <c r="V478" s="167">
        <v>54984.625467686375</v>
      </c>
      <c r="W478" s="167">
        <v>55347.571993805097</v>
      </c>
      <c r="X478" s="167">
        <v>23288.906959635722</v>
      </c>
      <c r="Y478"/>
      <c r="Z478"/>
      <c r="AA478"/>
      <c r="AB478"/>
      <c r="AC478"/>
      <c r="AD478"/>
      <c r="AE478"/>
      <c r="AF478"/>
      <c r="AG478"/>
    </row>
    <row r="479" spans="1:33" ht="12.75">
      <c r="A479" s="168" t="s">
        <v>431</v>
      </c>
      <c r="B479" s="581">
        <f>NPV(0.1,D479:Y479)</f>
        <v>185560.23439754051</v>
      </c>
      <c r="C479" s="581">
        <f>B479-B469</f>
        <v>-291.81475843698718</v>
      </c>
      <c r="D479" s="585">
        <v>19204.897524281329</v>
      </c>
      <c r="E479" s="586">
        <v>21191.8225168887</v>
      </c>
      <c r="F479" s="586">
        <v>21510.140249182303</v>
      </c>
      <c r="G479" s="586">
        <v>21594.95182637062</v>
      </c>
      <c r="H479" s="586">
        <v>17698.697774186494</v>
      </c>
      <c r="I479" s="586">
        <v>21814.825860099016</v>
      </c>
      <c r="J479" s="586">
        <v>21925.961416665683</v>
      </c>
      <c r="K479" s="586">
        <v>22035.810092461816</v>
      </c>
      <c r="L479" s="586">
        <v>22149.927571941906</v>
      </c>
      <c r="M479" s="586">
        <v>22268.413798122212</v>
      </c>
      <c r="N479" s="586">
        <v>22386.014726164649</v>
      </c>
      <c r="O479" s="587">
        <v>23287.756181214547</v>
      </c>
      <c r="P479" s="167">
        <v>23355.250082108934</v>
      </c>
      <c r="Q479" s="167">
        <v>23411.423099545951</v>
      </c>
      <c r="R479" s="167">
        <v>23472.690603666149</v>
      </c>
      <c r="S479" s="167">
        <v>23543.458723688862</v>
      </c>
      <c r="T479" s="167">
        <v>23591.527856452441</v>
      </c>
      <c r="U479" s="167">
        <v>23628.99367821058</v>
      </c>
      <c r="V479" s="167">
        <v>23672.177798214379</v>
      </c>
      <c r="W479" s="167">
        <v>23818.689875411255</v>
      </c>
      <c r="X479" s="167">
        <v>11803.66500208672</v>
      </c>
      <c r="Y479"/>
      <c r="Z479"/>
      <c r="AA479"/>
      <c r="AB479"/>
      <c r="AC479"/>
      <c r="AD479"/>
      <c r="AE479"/>
      <c r="AF479"/>
      <c r="AG479"/>
    </row>
    <row r="480" spans="1:33" ht="12.75">
      <c r="A480" s="168" t="s">
        <v>34</v>
      </c>
      <c r="B480" s="581">
        <f>NPV(0.1,D480:Y480)</f>
        <v>77177.380993378218</v>
      </c>
      <c r="C480" s="581">
        <f>B480-B470</f>
        <v>142.44908231425507</v>
      </c>
      <c r="D480" s="585">
        <v>1613.0506380857937</v>
      </c>
      <c r="E480" s="586">
        <v>4209.096330379718</v>
      </c>
      <c r="F480" s="586">
        <v>4599.3422038793342</v>
      </c>
      <c r="G480" s="586">
        <v>4861.8599659535439</v>
      </c>
      <c r="H480" s="586">
        <v>7470.9183479812436</v>
      </c>
      <c r="I480" s="586">
        <v>9657.0761833418364</v>
      </c>
      <c r="J480" s="586">
        <v>10202.599615526608</v>
      </c>
      <c r="K480" s="586">
        <v>10629.342950902967</v>
      </c>
      <c r="L480" s="586">
        <v>11433.891352673378</v>
      </c>
      <c r="M480" s="586">
        <v>11923.604241253397</v>
      </c>
      <c r="N480" s="586">
        <v>12820.730496109505</v>
      </c>
      <c r="O480" s="587">
        <v>12900.071261933477</v>
      </c>
      <c r="P480" s="167">
        <v>13921.111849066509</v>
      </c>
      <c r="Q480" s="167">
        <v>14605.783436054839</v>
      </c>
      <c r="R480" s="167">
        <v>15326.460970375272</v>
      </c>
      <c r="S480" s="167">
        <v>16106.867863884372</v>
      </c>
      <c r="T480" s="167">
        <v>16357.336481906517</v>
      </c>
      <c r="U480" s="167">
        <v>16575.020429770273</v>
      </c>
      <c r="V480" s="167">
        <v>16782.347485847698</v>
      </c>
      <c r="W480" s="167">
        <v>16917.666361459553</v>
      </c>
      <c r="X480" s="167">
        <v>4386.0067146463407</v>
      </c>
      <c r="Y480"/>
      <c r="Z480"/>
      <c r="AA480"/>
      <c r="AB480"/>
      <c r="AC480"/>
      <c r="AD480"/>
      <c r="AE480"/>
      <c r="AF480"/>
      <c r="AG480"/>
    </row>
    <row r="481" spans="1:33" ht="12.75">
      <c r="A481" s="168" t="s">
        <v>31</v>
      </c>
      <c r="B481" s="581">
        <f>NPV(0.1,D481:Y481)</f>
        <v>86112.798639833054</v>
      </c>
      <c r="C481" s="581">
        <f>B481-B471</f>
        <v>115.41532117770112</v>
      </c>
      <c r="D481" s="588">
        <v>2660.6063048527053</v>
      </c>
      <c r="E481" s="589">
        <v>4069.3850024313551</v>
      </c>
      <c r="F481" s="589">
        <v>6616.3578706979551</v>
      </c>
      <c r="G481" s="589">
        <v>6607.2514075191657</v>
      </c>
      <c r="H481" s="589">
        <v>14047.674929349421</v>
      </c>
      <c r="I481" s="589">
        <v>11877.793584174589</v>
      </c>
      <c r="J481" s="589">
        <v>11524.809215211779</v>
      </c>
      <c r="K481" s="589">
        <v>11434.818908032354</v>
      </c>
      <c r="L481" s="589">
        <v>11454.104432415785</v>
      </c>
      <c r="M481" s="589">
        <v>11333.326194764617</v>
      </c>
      <c r="N481" s="589">
        <v>11312.986079958027</v>
      </c>
      <c r="O481" s="590">
        <v>11752.157545999687</v>
      </c>
      <c r="P481" s="167">
        <v>10876.184942209766</v>
      </c>
      <c r="Q481" s="167">
        <v>10664.169027766991</v>
      </c>
      <c r="R481" s="167">
        <v>10427.445979521333</v>
      </c>
      <c r="S481" s="167">
        <v>20593.953986519846</v>
      </c>
      <c r="T481" s="167">
        <v>19055.726549687155</v>
      </c>
      <c r="U481" s="167">
        <v>19223.27886158599</v>
      </c>
      <c r="V481" s="167">
        <v>19430.605917663415</v>
      </c>
      <c r="W481" s="167">
        <v>19663.607109064789</v>
      </c>
      <c r="X481" s="167">
        <v>7180.7886201463407</v>
      </c>
      <c r="Y481"/>
      <c r="Z481"/>
      <c r="AA481"/>
      <c r="AB481"/>
      <c r="AC481"/>
      <c r="AD481"/>
      <c r="AE481"/>
      <c r="AF481"/>
      <c r="AG481"/>
    </row>
    <row r="482" spans="1:33" ht="12.75">
      <c r="A482" s="163"/>
      <c r="B482" s="163"/>
      <c r="C482" s="163"/>
      <c r="D482"/>
      <c r="E482"/>
      <c r="F482"/>
      <c r="G482"/>
      <c r="H482"/>
      <c r="I482"/>
      <c r="J482"/>
      <c r="K482"/>
      <c r="L482"/>
      <c r="M482"/>
      <c r="N482"/>
      <c r="O482"/>
      <c r="P482"/>
      <c r="Q482"/>
      <c r="R482"/>
      <c r="S482"/>
      <c r="T482"/>
      <c r="U482"/>
      <c r="V482"/>
      <c r="W482"/>
      <c r="X482"/>
      <c r="Y482"/>
      <c r="Z482"/>
      <c r="AA482"/>
      <c r="AB482"/>
      <c r="AC482"/>
      <c r="AD482"/>
      <c r="AE482"/>
      <c r="AF482"/>
      <c r="AG482"/>
    </row>
    <row r="483" spans="1:33" ht="12.75">
      <c r="A483" s="169" t="s">
        <v>681</v>
      </c>
      <c r="B483" s="163"/>
      <c r="C483" s="163"/>
      <c r="D483"/>
      <c r="E483"/>
      <c r="F483"/>
      <c r="G483"/>
      <c r="H483"/>
      <c r="I483"/>
      <c r="J483"/>
      <c r="K483"/>
      <c r="L483"/>
      <c r="M483"/>
      <c r="N483"/>
      <c r="O483"/>
      <c r="P483"/>
      <c r="Q483"/>
      <c r="R483"/>
      <c r="S483"/>
      <c r="T483"/>
      <c r="U483"/>
      <c r="V483"/>
      <c r="W483"/>
      <c r="X483"/>
      <c r="Y483"/>
      <c r="Z483"/>
      <c r="AA483"/>
      <c r="AB483"/>
      <c r="AC483"/>
      <c r="AD483"/>
      <c r="AE483"/>
      <c r="AF483"/>
      <c r="AG483"/>
    </row>
    <row r="484" spans="1:33" ht="12.75">
      <c r="A484" s="416">
        <v>36306</v>
      </c>
      <c r="B484" s="163"/>
      <c r="C484" s="163"/>
      <c r="D484"/>
      <c r="E484"/>
      <c r="F484"/>
      <c r="G484"/>
      <c r="H484"/>
      <c r="I484"/>
      <c r="J484"/>
      <c r="K484"/>
      <c r="L484"/>
      <c r="M484"/>
      <c r="N484"/>
      <c r="O484"/>
      <c r="P484"/>
      <c r="Q484"/>
      <c r="R484"/>
      <c r="S484"/>
      <c r="T484"/>
      <c r="U484"/>
      <c r="V484"/>
      <c r="W484"/>
      <c r="X484"/>
      <c r="Y484"/>
      <c r="Z484"/>
      <c r="AA484"/>
      <c r="AB484"/>
      <c r="AC484"/>
      <c r="AD484"/>
      <c r="AE484"/>
      <c r="AF484"/>
      <c r="AG484"/>
    </row>
    <row r="485" spans="1:33" ht="12.75">
      <c r="A485" s="164" t="s">
        <v>427</v>
      </c>
      <c r="B485" s="172">
        <v>22790.951296090338</v>
      </c>
      <c r="C485" s="163"/>
      <c r="D485"/>
      <c r="E485"/>
      <c r="F485"/>
      <c r="G485"/>
      <c r="H485"/>
      <c r="I485"/>
      <c r="J485"/>
      <c r="K485"/>
      <c r="L485"/>
      <c r="M485"/>
      <c r="N485"/>
      <c r="O485"/>
      <c r="P485"/>
      <c r="Q485"/>
      <c r="R485"/>
      <c r="S485"/>
      <c r="T485"/>
      <c r="U485"/>
      <c r="V485"/>
      <c r="W485"/>
      <c r="X485"/>
      <c r="Y485"/>
      <c r="Z485"/>
      <c r="AA485"/>
      <c r="AB485"/>
      <c r="AC485"/>
      <c r="AD485"/>
      <c r="AE485"/>
      <c r="AF485"/>
      <c r="AG485"/>
    </row>
    <row r="486" spans="1:33" ht="12.75">
      <c r="A486" s="165" t="s">
        <v>428</v>
      </c>
      <c r="B486" s="173">
        <v>50516.183208435898</v>
      </c>
      <c r="C486" s="163"/>
      <c r="D486"/>
      <c r="E486"/>
      <c r="F486"/>
      <c r="G486"/>
      <c r="H486"/>
      <c r="I486"/>
      <c r="J486"/>
      <c r="K486"/>
      <c r="L486"/>
      <c r="M486"/>
      <c r="N486"/>
      <c r="O486"/>
      <c r="P486"/>
      <c r="Q486"/>
      <c r="R486"/>
      <c r="S486"/>
      <c r="T486"/>
      <c r="U486"/>
      <c r="V486"/>
      <c r="W486"/>
      <c r="X486"/>
      <c r="Y486"/>
      <c r="Z486"/>
      <c r="AA486"/>
      <c r="AB486"/>
      <c r="AC486"/>
      <c r="AD486"/>
      <c r="AE486"/>
      <c r="AF486"/>
      <c r="AG486"/>
    </row>
    <row r="487" spans="1:33" ht="12.75">
      <c r="A487" s="166" t="s">
        <v>429</v>
      </c>
      <c r="B487" s="580" t="s">
        <v>499</v>
      </c>
      <c r="C487" s="580" t="s">
        <v>500</v>
      </c>
      <c r="D487" s="582">
        <v>1999</v>
      </c>
      <c r="E487" s="583">
        <v>2000</v>
      </c>
      <c r="F487" s="583">
        <v>2001</v>
      </c>
      <c r="G487" s="583">
        <v>2002</v>
      </c>
      <c r="H487" s="583">
        <v>2003</v>
      </c>
      <c r="I487" s="583">
        <v>2004</v>
      </c>
      <c r="J487" s="583">
        <v>2005</v>
      </c>
      <c r="K487" s="583">
        <v>2006</v>
      </c>
      <c r="L487" s="583">
        <v>2007</v>
      </c>
      <c r="M487" s="583">
        <v>2008</v>
      </c>
      <c r="N487" s="583">
        <v>2009</v>
      </c>
      <c r="O487" s="584">
        <v>2010</v>
      </c>
      <c r="P487" s="171">
        <v>2011</v>
      </c>
      <c r="Q487" s="171">
        <v>2012</v>
      </c>
      <c r="R487" s="171">
        <v>2013</v>
      </c>
      <c r="S487" s="171">
        <v>2014</v>
      </c>
      <c r="T487" s="171">
        <v>2015</v>
      </c>
      <c r="U487" s="171">
        <v>2016</v>
      </c>
      <c r="V487" s="171">
        <v>2017</v>
      </c>
      <c r="W487" s="171">
        <v>2018</v>
      </c>
      <c r="X487" s="171">
        <v>2019</v>
      </c>
      <c r="Y487"/>
      <c r="Z487"/>
      <c r="AA487"/>
      <c r="AB487"/>
      <c r="AC487"/>
      <c r="AD487"/>
      <c r="AE487"/>
      <c r="AF487"/>
      <c r="AG487"/>
    </row>
    <row r="488" spans="1:33" ht="12.75">
      <c r="A488" s="166" t="s">
        <v>430</v>
      </c>
      <c r="B488" s="581">
        <f>NPV(0.1,D488:Y488)</f>
        <v>385196.63380079047</v>
      </c>
      <c r="C488" s="581">
        <f>B488-B478</f>
        <v>0</v>
      </c>
      <c r="D488" s="585">
        <v>26898.216959999994</v>
      </c>
      <c r="E488" s="586">
        <v>40079.915814977372</v>
      </c>
      <c r="F488" s="586">
        <v>40673.161342217194</v>
      </c>
      <c r="G488" s="586">
        <v>40731.64097768371</v>
      </c>
      <c r="H488" s="586">
        <v>40720.399815461329</v>
      </c>
      <c r="I488" s="586">
        <v>47935.027842670614</v>
      </c>
      <c r="J488" s="586">
        <v>48339.398634864941</v>
      </c>
      <c r="K488" s="586">
        <v>48739.706698329624</v>
      </c>
      <c r="L488" s="586">
        <v>49708.012939375512</v>
      </c>
      <c r="M488" s="586">
        <v>50115.519705792773</v>
      </c>
      <c r="N488" s="586">
        <v>51125.100337062562</v>
      </c>
      <c r="O488" s="587">
        <v>51539.197941903163</v>
      </c>
      <c r="P488" s="167">
        <v>52591.488920256263</v>
      </c>
      <c r="Q488" s="167">
        <v>53011.468762469813</v>
      </c>
      <c r="R488" s="167">
        <v>53424.131603985064</v>
      </c>
      <c r="S488" s="167">
        <v>53828.660442902132</v>
      </c>
      <c r="T488" s="167">
        <v>54224.195842507746</v>
      </c>
      <c r="U488" s="167">
        <v>54609.834120488216</v>
      </c>
      <c r="V488" s="167">
        <v>54984.625467686375</v>
      </c>
      <c r="W488" s="167">
        <v>55347.571993805097</v>
      </c>
      <c r="X488" s="167">
        <v>23288.906959635722</v>
      </c>
      <c r="Y488"/>
      <c r="Z488"/>
      <c r="AA488"/>
      <c r="AB488"/>
      <c r="AC488"/>
      <c r="AD488"/>
      <c r="AE488"/>
      <c r="AF488"/>
      <c r="AG488"/>
    </row>
    <row r="489" spans="1:33" ht="12.75">
      <c r="A489" s="168" t="s">
        <v>431</v>
      </c>
      <c r="B489" s="581">
        <f>NPV(0.1,D489:Y489)</f>
        <v>185554.62141949832</v>
      </c>
      <c r="C489" s="581">
        <f>B489-B479</f>
        <v>-5.6129780421906617</v>
      </c>
      <c r="D489" s="585">
        <v>19204.014028790356</v>
      </c>
      <c r="E489" s="586">
        <v>21190.947137849445</v>
      </c>
      <c r="F489" s="586">
        <v>21509.272967269404</v>
      </c>
      <c r="G489" s="586">
        <v>21594.092620533091</v>
      </c>
      <c r="H489" s="586">
        <v>17697.964581379863</v>
      </c>
      <c r="I489" s="586">
        <v>21814.125028474416</v>
      </c>
      <c r="J489" s="586">
        <v>21925.30041189208</v>
      </c>
      <c r="K489" s="586">
        <v>22035.188951611115</v>
      </c>
      <c r="L489" s="586">
        <v>22149.346257942205</v>
      </c>
      <c r="M489" s="586">
        <v>22267.87234804541</v>
      </c>
      <c r="N489" s="586">
        <v>22385.51310293885</v>
      </c>
      <c r="O489" s="587">
        <v>23287.294421911647</v>
      </c>
      <c r="P489" s="167">
        <v>23354.828149657034</v>
      </c>
      <c r="Q489" s="167">
        <v>23411.04103101695</v>
      </c>
      <c r="R489" s="167">
        <v>23472.348361988148</v>
      </c>
      <c r="S489" s="167">
        <v>23543.145372651361</v>
      </c>
      <c r="T489" s="167">
        <v>23591.232459844941</v>
      </c>
      <c r="U489" s="167">
        <v>23628.71623603308</v>
      </c>
      <c r="V489" s="167">
        <v>23671.918310466881</v>
      </c>
      <c r="W489" s="167">
        <v>23818.448342093758</v>
      </c>
      <c r="X489" s="167">
        <v>11803.44142319922</v>
      </c>
      <c r="Y489"/>
      <c r="Z489"/>
      <c r="AA489"/>
      <c r="AB489"/>
      <c r="AC489"/>
      <c r="AD489"/>
      <c r="AE489"/>
      <c r="AF489"/>
      <c r="AG489"/>
    </row>
    <row r="490" spans="1:33" ht="12.75">
      <c r="A490" s="168" t="s">
        <v>34</v>
      </c>
      <c r="B490" s="581">
        <f>NPV(0.1,D490:Y490)</f>
        <v>77225.44503935473</v>
      </c>
      <c r="C490" s="581">
        <f>B490-B480</f>
        <v>48.064045976512716</v>
      </c>
      <c r="D490" s="585">
        <v>1614.9969545871818</v>
      </c>
      <c r="E490" s="586">
        <v>4213.0121994666988</v>
      </c>
      <c r="F490" s="586">
        <v>4603.2705523502282</v>
      </c>
      <c r="G490" s="586">
        <v>4865.8019081318353</v>
      </c>
      <c r="H490" s="586">
        <v>7474.7988184277174</v>
      </c>
      <c r="I490" s="586">
        <v>9662.4774625532391</v>
      </c>
      <c r="J490" s="586">
        <v>10210.130238163041</v>
      </c>
      <c r="K490" s="586">
        <v>10636.856557566331</v>
      </c>
      <c r="L490" s="586">
        <v>11441.387811446522</v>
      </c>
      <c r="M490" s="586">
        <v>11931.083362188001</v>
      </c>
      <c r="N490" s="586">
        <v>12828.192121539178</v>
      </c>
      <c r="O490" s="587">
        <v>12907.515174100727</v>
      </c>
      <c r="P490" s="167">
        <v>13928.53786027103</v>
      </c>
      <c r="Q490" s="167">
        <v>14613.191296102514</v>
      </c>
      <c r="R490" s="167">
        <v>15333.850456534245</v>
      </c>
      <c r="S490" s="167">
        <v>16114.24554882835</v>
      </c>
      <c r="T490" s="167">
        <v>16364.702941404212</v>
      </c>
      <c r="U490" s="167">
        <v>16582.375663821684</v>
      </c>
      <c r="V490" s="167">
        <v>16789.691494452825</v>
      </c>
      <c r="W490" s="167">
        <v>16924.999144618399</v>
      </c>
      <c r="X490" s="167">
        <v>4393.3282723589109</v>
      </c>
      <c r="Y490"/>
      <c r="Z490"/>
      <c r="AA490"/>
      <c r="AB490"/>
      <c r="AC490"/>
      <c r="AD490"/>
      <c r="AE490"/>
      <c r="AF490"/>
      <c r="AG490"/>
    </row>
    <row r="491" spans="1:33" ht="12.75">
      <c r="A491" s="168" t="s">
        <v>31</v>
      </c>
      <c r="B491" s="581">
        <f>NPV(0.1,D491:Y491)</f>
        <v>86051.643391054502</v>
      </c>
      <c r="C491" s="581">
        <f>B491-B481</f>
        <v>-61.15524877855205</v>
      </c>
      <c r="D491" s="588">
        <v>2660.9118470433327</v>
      </c>
      <c r="E491" s="589">
        <v>4069.6877376824368</v>
      </c>
      <c r="F491" s="589">
        <v>6616.6578056928274</v>
      </c>
      <c r="G491" s="589">
        <v>6607.5485495379744</v>
      </c>
      <c r="H491" s="589">
        <v>14000.987305366089</v>
      </c>
      <c r="I491" s="589">
        <v>11870.087422407392</v>
      </c>
      <c r="J491" s="589">
        <v>11516.249022570133</v>
      </c>
      <c r="K491" s="589">
        <v>11426.230010236544</v>
      </c>
      <c r="L491" s="589">
        <v>11445.516591406227</v>
      </c>
      <c r="M491" s="589">
        <v>11324.70984797506</v>
      </c>
      <c r="N491" s="589">
        <v>11304.371005278812</v>
      </c>
      <c r="O491" s="590">
        <v>11743.514198090492</v>
      </c>
      <c r="P491" s="167">
        <v>10867.543117564928</v>
      </c>
      <c r="Q491" s="167">
        <v>10655.499201138515</v>
      </c>
      <c r="R491" s="167">
        <v>10418.777969103268</v>
      </c>
      <c r="S491" s="167">
        <v>20589.775415263826</v>
      </c>
      <c r="T491" s="167">
        <v>19055.911237184853</v>
      </c>
      <c r="U491" s="167">
        <v>19223.452323637404</v>
      </c>
      <c r="V491" s="167">
        <v>19430.768154268546</v>
      </c>
      <c r="W491" s="167">
        <v>19663.75812022364</v>
      </c>
      <c r="X491" s="167">
        <v>7180.9284058589101</v>
      </c>
      <c r="Y491"/>
      <c r="Z491"/>
      <c r="AA491"/>
      <c r="AB491"/>
      <c r="AC491"/>
      <c r="AD491"/>
      <c r="AE491"/>
      <c r="AF491"/>
      <c r="AG491"/>
    </row>
    <row r="492" spans="1:33" ht="12.75">
      <c r="A492" s="163"/>
      <c r="B492" s="163"/>
      <c r="C492" s="163"/>
      <c r="D492"/>
      <c r="E492"/>
      <c r="F492"/>
      <c r="G492"/>
      <c r="H492"/>
      <c r="I492"/>
      <c r="J492"/>
      <c r="K492"/>
      <c r="L492"/>
      <c r="M492"/>
      <c r="N492"/>
      <c r="O492"/>
      <c r="P492"/>
      <c r="Q492"/>
      <c r="R492"/>
      <c r="S492"/>
      <c r="T492"/>
      <c r="U492"/>
      <c r="V492"/>
      <c r="W492"/>
      <c r="X492"/>
      <c r="Y492"/>
      <c r="Z492"/>
      <c r="AA492"/>
      <c r="AB492"/>
      <c r="AC492"/>
      <c r="AD492"/>
      <c r="AE492"/>
      <c r="AF492"/>
      <c r="AG492"/>
    </row>
    <row r="493" spans="1:33" ht="12.75">
      <c r="A493" s="169" t="s">
        <v>682</v>
      </c>
      <c r="B493" s="163"/>
      <c r="C493" s="163"/>
      <c r="D493"/>
      <c r="E493"/>
      <c r="F493"/>
      <c r="G493"/>
      <c r="H493"/>
      <c r="I493"/>
      <c r="J493"/>
      <c r="K493"/>
      <c r="L493"/>
      <c r="M493"/>
      <c r="N493"/>
      <c r="O493"/>
      <c r="P493"/>
      <c r="Q493"/>
      <c r="R493"/>
      <c r="S493"/>
      <c r="T493"/>
      <c r="U493"/>
      <c r="V493"/>
      <c r="W493"/>
      <c r="X493"/>
      <c r="Y493"/>
      <c r="Z493"/>
      <c r="AA493"/>
      <c r="AB493"/>
      <c r="AC493"/>
      <c r="AD493"/>
      <c r="AE493"/>
      <c r="AF493"/>
      <c r="AG493"/>
    </row>
    <row r="494" spans="1:33" ht="12.75">
      <c r="A494" s="416">
        <v>36313</v>
      </c>
      <c r="B494" s="163"/>
      <c r="C494" s="163"/>
      <c r="D494"/>
      <c r="E494"/>
      <c r="F494"/>
      <c r="G494"/>
      <c r="H494"/>
      <c r="I494"/>
      <c r="J494"/>
      <c r="K494"/>
      <c r="L494"/>
      <c r="M494"/>
      <c r="N494"/>
      <c r="O494"/>
      <c r="P494"/>
      <c r="Q494"/>
      <c r="R494"/>
      <c r="S494"/>
      <c r="T494"/>
      <c r="U494"/>
      <c r="V494"/>
      <c r="W494"/>
      <c r="X494"/>
      <c r="Y494"/>
      <c r="Z494"/>
      <c r="AA494"/>
      <c r="AB494"/>
      <c r="AC494"/>
      <c r="AD494"/>
      <c r="AE494"/>
      <c r="AF494"/>
      <c r="AG494"/>
    </row>
    <row r="495" spans="1:33" ht="12.75">
      <c r="A495" s="164" t="s">
        <v>427</v>
      </c>
      <c r="B495" s="172">
        <v>22790.951296090338</v>
      </c>
      <c r="C495" s="163"/>
      <c r="D495"/>
      <c r="E495"/>
      <c r="F495"/>
      <c r="G495"/>
      <c r="H495"/>
      <c r="I495"/>
      <c r="J495"/>
      <c r="K495"/>
      <c r="L495"/>
      <c r="M495"/>
      <c r="N495"/>
      <c r="O495"/>
      <c r="P495"/>
      <c r="Q495"/>
      <c r="R495"/>
      <c r="S495"/>
      <c r="T495"/>
      <c r="U495"/>
      <c r="V495"/>
      <c r="W495"/>
      <c r="X495"/>
      <c r="Y495"/>
      <c r="Z495"/>
      <c r="AA495"/>
      <c r="AB495"/>
      <c r="AC495"/>
      <c r="AD495"/>
      <c r="AE495"/>
      <c r="AF495"/>
      <c r="AG495"/>
    </row>
    <row r="496" spans="1:33" ht="12.75">
      <c r="A496" s="165" t="s">
        <v>428</v>
      </c>
      <c r="B496" s="173">
        <v>50516.183208435898</v>
      </c>
      <c r="C496" s="163"/>
      <c r="D496"/>
      <c r="E496"/>
      <c r="F496"/>
      <c r="G496"/>
      <c r="H496"/>
      <c r="I496"/>
      <c r="J496"/>
      <c r="K496"/>
      <c r="L496"/>
      <c r="M496"/>
      <c r="N496"/>
      <c r="O496"/>
      <c r="P496"/>
      <c r="Q496"/>
      <c r="R496"/>
      <c r="S496"/>
      <c r="T496"/>
      <c r="U496"/>
      <c r="V496"/>
      <c r="W496"/>
      <c r="X496"/>
      <c r="Y496"/>
      <c r="Z496"/>
      <c r="AA496"/>
      <c r="AB496"/>
      <c r="AC496"/>
      <c r="AD496"/>
      <c r="AE496"/>
      <c r="AF496"/>
      <c r="AG496"/>
    </row>
    <row r="497" spans="1:33" ht="12.75">
      <c r="A497" s="166" t="s">
        <v>429</v>
      </c>
      <c r="B497" s="580" t="s">
        <v>499</v>
      </c>
      <c r="C497" s="580" t="s">
        <v>500</v>
      </c>
      <c r="D497" s="582">
        <v>1999</v>
      </c>
      <c r="E497" s="583">
        <v>2000</v>
      </c>
      <c r="F497" s="583">
        <v>2001</v>
      </c>
      <c r="G497" s="583">
        <v>2002</v>
      </c>
      <c r="H497" s="583">
        <v>2003</v>
      </c>
      <c r="I497" s="583">
        <v>2004</v>
      </c>
      <c r="J497" s="583">
        <v>2005</v>
      </c>
      <c r="K497" s="583">
        <v>2006</v>
      </c>
      <c r="L497" s="583">
        <v>2007</v>
      </c>
      <c r="M497" s="583">
        <v>2008</v>
      </c>
      <c r="N497" s="583">
        <v>2009</v>
      </c>
      <c r="O497" s="584">
        <v>2010</v>
      </c>
      <c r="P497" s="171">
        <v>2011</v>
      </c>
      <c r="Q497" s="171">
        <v>2012</v>
      </c>
      <c r="R497" s="171">
        <v>2013</v>
      </c>
      <c r="S497" s="171">
        <v>2014</v>
      </c>
      <c r="T497" s="171">
        <v>2015</v>
      </c>
      <c r="U497" s="171">
        <v>2016</v>
      </c>
      <c r="V497" s="171">
        <v>2017</v>
      </c>
      <c r="W497" s="171">
        <v>2018</v>
      </c>
      <c r="X497" s="171">
        <v>2019</v>
      </c>
      <c r="Y497"/>
      <c r="Z497"/>
      <c r="AA497"/>
      <c r="AB497"/>
      <c r="AC497"/>
      <c r="AD497"/>
      <c r="AE497"/>
      <c r="AF497"/>
      <c r="AG497"/>
    </row>
    <row r="498" spans="1:33" ht="12.75">
      <c r="A498" s="166" t="s">
        <v>430</v>
      </c>
      <c r="B498" s="581">
        <f>NPV(0.1,D498:Y498)</f>
        <v>385196.63380079047</v>
      </c>
      <c r="C498" s="581">
        <f>B498-B488</f>
        <v>0</v>
      </c>
      <c r="D498" s="585">
        <v>26898.216959999994</v>
      </c>
      <c r="E498" s="586">
        <v>40079.915814977372</v>
      </c>
      <c r="F498" s="586">
        <v>40673.161342217194</v>
      </c>
      <c r="G498" s="586">
        <v>40731.64097768371</v>
      </c>
      <c r="H498" s="586">
        <v>40720.399815461329</v>
      </c>
      <c r="I498" s="586">
        <v>47935.027842670614</v>
      </c>
      <c r="J498" s="586">
        <v>48339.398634864941</v>
      </c>
      <c r="K498" s="586">
        <v>48739.706698329624</v>
      </c>
      <c r="L498" s="586">
        <v>49708.012939375512</v>
      </c>
      <c r="M498" s="586">
        <v>50115.519705792773</v>
      </c>
      <c r="N498" s="586">
        <v>51125.100337062562</v>
      </c>
      <c r="O498" s="587">
        <v>51539.197941903163</v>
      </c>
      <c r="P498" s="167">
        <v>52591.488920256263</v>
      </c>
      <c r="Q498" s="167">
        <v>53011.468762469813</v>
      </c>
      <c r="R498" s="167">
        <v>53424.131603985064</v>
      </c>
      <c r="S498" s="167">
        <v>53828.660442902132</v>
      </c>
      <c r="T498" s="167">
        <v>54224.195842507746</v>
      </c>
      <c r="U498" s="167">
        <v>54609.834120488216</v>
      </c>
      <c r="V498" s="167">
        <v>54984.625467686375</v>
      </c>
      <c r="W498" s="167">
        <v>55347.571993805097</v>
      </c>
      <c r="X498" s="167">
        <v>23288.906959635722</v>
      </c>
      <c r="Y498"/>
      <c r="Z498"/>
      <c r="AA498"/>
      <c r="AB498"/>
      <c r="AC498"/>
      <c r="AD498"/>
      <c r="AE498"/>
      <c r="AF498"/>
      <c r="AG498"/>
    </row>
    <row r="499" spans="1:33" ht="12.75">
      <c r="A499" s="168" t="s">
        <v>431</v>
      </c>
      <c r="B499" s="581">
        <f>NPV(0.1,D499:Y499)</f>
        <v>185554.62141949832</v>
      </c>
      <c r="C499" s="581">
        <f>B499-B489</f>
        <v>0</v>
      </c>
      <c r="D499" s="585">
        <v>19204.014028790356</v>
      </c>
      <c r="E499" s="586">
        <v>21190.947137849445</v>
      </c>
      <c r="F499" s="586">
        <v>21509.272967269404</v>
      </c>
      <c r="G499" s="586">
        <v>21594.092620533091</v>
      </c>
      <c r="H499" s="586">
        <v>17697.964581379863</v>
      </c>
      <c r="I499" s="586">
        <v>21814.125028474416</v>
      </c>
      <c r="J499" s="586">
        <v>21925.30041189208</v>
      </c>
      <c r="K499" s="586">
        <v>22035.188951611115</v>
      </c>
      <c r="L499" s="586">
        <v>22149.346257942205</v>
      </c>
      <c r="M499" s="586">
        <v>22267.87234804541</v>
      </c>
      <c r="N499" s="586">
        <v>22385.51310293885</v>
      </c>
      <c r="O499" s="587">
        <v>23287.294421911647</v>
      </c>
      <c r="P499" s="167">
        <v>23354.828149657034</v>
      </c>
      <c r="Q499" s="167">
        <v>23411.04103101695</v>
      </c>
      <c r="R499" s="167">
        <v>23472.348361988148</v>
      </c>
      <c r="S499" s="167">
        <v>23543.145372651361</v>
      </c>
      <c r="T499" s="167">
        <v>23591.232459844941</v>
      </c>
      <c r="U499" s="167">
        <v>23628.71623603308</v>
      </c>
      <c r="V499" s="167">
        <v>23671.918310466881</v>
      </c>
      <c r="W499" s="167">
        <v>23818.448342093758</v>
      </c>
      <c r="X499" s="167">
        <v>11803.44142319922</v>
      </c>
      <c r="Y499"/>
      <c r="Z499"/>
      <c r="AA499"/>
      <c r="AB499"/>
      <c r="AC499"/>
      <c r="AD499"/>
      <c r="AE499"/>
      <c r="AF499"/>
      <c r="AG499"/>
    </row>
    <row r="500" spans="1:33" ht="12.75">
      <c r="A500" s="168" t="s">
        <v>34</v>
      </c>
      <c r="B500" s="581">
        <f>NPV(0.1,D500:Y500)</f>
        <v>77225.44503935473</v>
      </c>
      <c r="C500" s="581">
        <f>B500-B490</f>
        <v>0</v>
      </c>
      <c r="D500" s="585">
        <v>1614.9969545871818</v>
      </c>
      <c r="E500" s="586">
        <v>4213.0121994666988</v>
      </c>
      <c r="F500" s="586">
        <v>4603.2705523502282</v>
      </c>
      <c r="G500" s="586">
        <v>4865.8019081318353</v>
      </c>
      <c r="H500" s="586">
        <v>7474.7988184277174</v>
      </c>
      <c r="I500" s="586">
        <v>9662.4774625532391</v>
      </c>
      <c r="J500" s="586">
        <v>10210.130238163041</v>
      </c>
      <c r="K500" s="586">
        <v>10636.856557566331</v>
      </c>
      <c r="L500" s="586">
        <v>11441.387811446522</v>
      </c>
      <c r="M500" s="586">
        <v>11931.083362188001</v>
      </c>
      <c r="N500" s="586">
        <v>12828.192121539178</v>
      </c>
      <c r="O500" s="587">
        <v>12907.515174100727</v>
      </c>
      <c r="P500" s="167">
        <v>13928.53786027103</v>
      </c>
      <c r="Q500" s="167">
        <v>14613.191296102514</v>
      </c>
      <c r="R500" s="167">
        <v>15333.850456534245</v>
      </c>
      <c r="S500" s="167">
        <v>16114.24554882835</v>
      </c>
      <c r="T500" s="167">
        <v>16364.702941404212</v>
      </c>
      <c r="U500" s="167">
        <v>16582.375663821684</v>
      </c>
      <c r="V500" s="167">
        <v>16789.691494452825</v>
      </c>
      <c r="W500" s="167">
        <v>16924.999144618399</v>
      </c>
      <c r="X500" s="167">
        <v>4393.3282723589109</v>
      </c>
      <c r="Y500"/>
      <c r="Z500"/>
      <c r="AA500"/>
      <c r="AB500"/>
      <c r="AC500"/>
      <c r="AD500"/>
      <c r="AE500"/>
      <c r="AF500"/>
      <c r="AG500"/>
    </row>
    <row r="501" spans="1:33" ht="12.75">
      <c r="A501" s="168" t="s">
        <v>31</v>
      </c>
      <c r="B501" s="581">
        <f>NPV(0.1,D501:Y501)</f>
        <v>86051.643391054502</v>
      </c>
      <c r="C501" s="581">
        <f>B501-B491</f>
        <v>0</v>
      </c>
      <c r="D501" s="588">
        <v>2660.9118470433327</v>
      </c>
      <c r="E501" s="589">
        <v>4069.6877376824368</v>
      </c>
      <c r="F501" s="589">
        <v>6616.6578056928274</v>
      </c>
      <c r="G501" s="589">
        <v>6607.5485495379744</v>
      </c>
      <c r="H501" s="589">
        <v>14000.987305366089</v>
      </c>
      <c r="I501" s="589">
        <v>11870.087422407392</v>
      </c>
      <c r="J501" s="589">
        <v>11516.249022570133</v>
      </c>
      <c r="K501" s="589">
        <v>11426.230010236544</v>
      </c>
      <c r="L501" s="589">
        <v>11445.516591406227</v>
      </c>
      <c r="M501" s="589">
        <v>11324.70984797506</v>
      </c>
      <c r="N501" s="589">
        <v>11304.371005278812</v>
      </c>
      <c r="O501" s="590">
        <v>11743.514198090492</v>
      </c>
      <c r="P501" s="167">
        <v>10867.543117564928</v>
      </c>
      <c r="Q501" s="167">
        <v>10655.499201138515</v>
      </c>
      <c r="R501" s="167">
        <v>10418.777969103268</v>
      </c>
      <c r="S501" s="167">
        <v>20589.775415263826</v>
      </c>
      <c r="T501" s="167">
        <v>19055.911237184853</v>
      </c>
      <c r="U501" s="167">
        <v>19223.452323637404</v>
      </c>
      <c r="V501" s="167">
        <v>19430.768154268546</v>
      </c>
      <c r="W501" s="167">
        <v>19663.75812022364</v>
      </c>
      <c r="X501" s="167">
        <v>7180.9284058589101</v>
      </c>
      <c r="Y501"/>
      <c r="Z501"/>
      <c r="AA501"/>
      <c r="AB501"/>
      <c r="AC501"/>
      <c r="AD501"/>
      <c r="AE501"/>
      <c r="AF501"/>
      <c r="AG501"/>
    </row>
    <row r="502" spans="1:33" ht="12.75">
      <c r="A502" s="163"/>
      <c r="B502" s="163"/>
      <c r="C502" s="163"/>
      <c r="D502"/>
      <c r="E502"/>
      <c r="F502"/>
      <c r="G502"/>
      <c r="H502"/>
      <c r="I502"/>
      <c r="J502"/>
      <c r="K502"/>
      <c r="L502"/>
      <c r="M502"/>
      <c r="N502"/>
      <c r="O502"/>
      <c r="P502"/>
      <c r="Q502"/>
      <c r="R502"/>
      <c r="S502"/>
      <c r="T502"/>
      <c r="U502"/>
      <c r="V502"/>
      <c r="W502"/>
      <c r="X502"/>
      <c r="Y502"/>
      <c r="Z502"/>
      <c r="AA502"/>
      <c r="AB502"/>
      <c r="AC502"/>
      <c r="AD502"/>
      <c r="AE502"/>
      <c r="AF502"/>
      <c r="AG502"/>
    </row>
    <row r="503" spans="1:33" ht="12.75">
      <c r="A503" s="169" t="s">
        <v>683</v>
      </c>
      <c r="B503" s="163"/>
      <c r="C503" s="163"/>
      <c r="D503"/>
      <c r="E503"/>
      <c r="F503"/>
      <c r="G503"/>
      <c r="H503"/>
      <c r="I503"/>
      <c r="J503"/>
      <c r="K503"/>
      <c r="L503"/>
      <c r="M503"/>
      <c r="N503"/>
      <c r="O503"/>
      <c r="P503"/>
      <c r="Q503"/>
      <c r="R503"/>
      <c r="S503"/>
      <c r="T503"/>
      <c r="U503"/>
      <c r="V503"/>
      <c r="W503"/>
      <c r="X503"/>
      <c r="Y503"/>
      <c r="Z503"/>
      <c r="AA503"/>
      <c r="AB503"/>
      <c r="AC503"/>
      <c r="AD503"/>
      <c r="AE503"/>
      <c r="AF503"/>
      <c r="AG503"/>
    </row>
    <row r="504" spans="1:33" ht="12.75">
      <c r="A504" s="416">
        <v>36313</v>
      </c>
      <c r="B504" s="163"/>
      <c r="C504" s="163"/>
      <c r="D504"/>
      <c r="E504"/>
      <c r="F504"/>
      <c r="G504"/>
      <c r="H504"/>
      <c r="I504"/>
      <c r="J504"/>
      <c r="K504"/>
      <c r="L504"/>
      <c r="M504"/>
      <c r="N504"/>
      <c r="O504"/>
      <c r="P504"/>
      <c r="Q504"/>
      <c r="R504"/>
      <c r="S504"/>
      <c r="T504"/>
      <c r="U504"/>
      <c r="V504"/>
      <c r="W504"/>
      <c r="X504"/>
      <c r="Y504"/>
      <c r="Z504"/>
      <c r="AA504"/>
      <c r="AB504"/>
      <c r="AC504"/>
      <c r="AD504"/>
      <c r="AE504"/>
      <c r="AF504"/>
      <c r="AG504"/>
    </row>
    <row r="505" spans="1:33" ht="12.75">
      <c r="A505" s="164" t="s">
        <v>427</v>
      </c>
      <c r="B505" s="172">
        <v>22820.20246090111</v>
      </c>
      <c r="C505" s="163"/>
      <c r="D505"/>
      <c r="E505"/>
      <c r="F505"/>
      <c r="G505"/>
      <c r="H505"/>
      <c r="I505"/>
      <c r="J505"/>
      <c r="K505"/>
      <c r="L505"/>
      <c r="M505"/>
      <c r="N505"/>
      <c r="O505"/>
      <c r="P505"/>
      <c r="Q505"/>
      <c r="R505"/>
      <c r="S505"/>
      <c r="T505"/>
      <c r="U505"/>
      <c r="V505"/>
      <c r="W505"/>
      <c r="X505"/>
      <c r="Y505"/>
      <c r="Z505"/>
      <c r="AA505"/>
      <c r="AB505"/>
      <c r="AC505"/>
      <c r="AD505"/>
      <c r="AE505"/>
      <c r="AF505"/>
      <c r="AG505"/>
    </row>
    <row r="506" spans="1:33" ht="12.75">
      <c r="A506" s="165" t="s">
        <v>428</v>
      </c>
      <c r="B506" s="173">
        <v>50563.553515821768</v>
      </c>
      <c r="C506" s="163"/>
      <c r="D506"/>
      <c r="E506"/>
      <c r="F506"/>
      <c r="G506"/>
      <c r="H506"/>
      <c r="I506"/>
      <c r="J506"/>
      <c r="K506"/>
      <c r="L506"/>
      <c r="M506"/>
      <c r="N506"/>
      <c r="O506"/>
      <c r="P506"/>
      <c r="Q506"/>
      <c r="R506"/>
      <c r="S506"/>
      <c r="T506"/>
      <c r="U506"/>
      <c r="V506"/>
      <c r="W506"/>
      <c r="X506"/>
      <c r="Y506"/>
      <c r="Z506"/>
      <c r="AA506"/>
      <c r="AB506"/>
      <c r="AC506"/>
      <c r="AD506"/>
      <c r="AE506"/>
      <c r="AF506"/>
      <c r="AG506"/>
    </row>
    <row r="507" spans="1:33" ht="12.75">
      <c r="A507" s="166" t="s">
        <v>429</v>
      </c>
      <c r="B507" s="580" t="s">
        <v>499</v>
      </c>
      <c r="C507" s="580" t="s">
        <v>500</v>
      </c>
      <c r="D507" s="582">
        <v>1999</v>
      </c>
      <c r="E507" s="583">
        <v>2000</v>
      </c>
      <c r="F507" s="583">
        <v>2001</v>
      </c>
      <c r="G507" s="583">
        <v>2002</v>
      </c>
      <c r="H507" s="583">
        <v>2003</v>
      </c>
      <c r="I507" s="583">
        <v>2004</v>
      </c>
      <c r="J507" s="583">
        <v>2005</v>
      </c>
      <c r="K507" s="583">
        <v>2006</v>
      </c>
      <c r="L507" s="583">
        <v>2007</v>
      </c>
      <c r="M507" s="583">
        <v>2008</v>
      </c>
      <c r="N507" s="583">
        <v>2009</v>
      </c>
      <c r="O507" s="584">
        <v>2010</v>
      </c>
      <c r="P507" s="171">
        <v>2011</v>
      </c>
      <c r="Q507" s="171">
        <v>2012</v>
      </c>
      <c r="R507" s="171">
        <v>2013</v>
      </c>
      <c r="S507" s="171">
        <v>2014</v>
      </c>
      <c r="T507" s="171">
        <v>2015</v>
      </c>
      <c r="U507" s="171">
        <v>2016</v>
      </c>
      <c r="V507" s="171">
        <v>2017</v>
      </c>
      <c r="W507" s="171">
        <v>2018</v>
      </c>
      <c r="X507" s="171">
        <v>2019</v>
      </c>
      <c r="Y507"/>
      <c r="Z507"/>
      <c r="AA507"/>
      <c r="AB507"/>
      <c r="AC507"/>
      <c r="AD507"/>
      <c r="AE507"/>
      <c r="AF507"/>
      <c r="AG507"/>
    </row>
    <row r="508" spans="1:33" ht="12.75">
      <c r="A508" s="166" t="s">
        <v>430</v>
      </c>
      <c r="B508" s="581">
        <f>NPV(0.1,D508:Y508)</f>
        <v>385260.6656033778</v>
      </c>
      <c r="C508" s="581">
        <f>B508-B498</f>
        <v>64.031802587327547</v>
      </c>
      <c r="D508" s="585">
        <v>26898.216959999994</v>
      </c>
      <c r="E508" s="586">
        <v>40079.915814977372</v>
      </c>
      <c r="F508" s="586">
        <v>40673.161342217194</v>
      </c>
      <c r="G508" s="586">
        <v>40731.64097768371</v>
      </c>
      <c r="H508" s="586">
        <v>40720.399815461329</v>
      </c>
      <c r="I508" s="586">
        <v>47935.027842670614</v>
      </c>
      <c r="J508" s="586">
        <v>48339.398634864941</v>
      </c>
      <c r="K508" s="586">
        <v>48739.706698329624</v>
      </c>
      <c r="L508" s="586">
        <v>49708.012939375512</v>
      </c>
      <c r="M508" s="586">
        <v>50115.519705792773</v>
      </c>
      <c r="N508" s="586">
        <v>51125.100337062562</v>
      </c>
      <c r="O508" s="587">
        <v>51539.197941903163</v>
      </c>
      <c r="P508" s="167">
        <v>52591.488920256263</v>
      </c>
      <c r="Q508" s="167">
        <v>53011.468762469813</v>
      </c>
      <c r="R508" s="167">
        <v>53424.131603985064</v>
      </c>
      <c r="S508" s="167">
        <v>53828.660442902132</v>
      </c>
      <c r="T508" s="167">
        <v>54224.195842507746</v>
      </c>
      <c r="U508" s="167">
        <v>54609.834120488216</v>
      </c>
      <c r="V508" s="167">
        <v>54984.625467686375</v>
      </c>
      <c r="W508" s="167">
        <v>55347.571993805097</v>
      </c>
      <c r="X508" s="167">
        <v>23762.758303163591</v>
      </c>
      <c r="Y508"/>
      <c r="Z508"/>
      <c r="AA508"/>
      <c r="AB508"/>
      <c r="AC508"/>
      <c r="AD508"/>
      <c r="AE508"/>
      <c r="AF508"/>
      <c r="AG508"/>
    </row>
    <row r="509" spans="1:33" ht="12.75">
      <c r="A509" s="168" t="s">
        <v>431</v>
      </c>
      <c r="B509" s="581">
        <f>NPV(0.1,D509:Y509)</f>
        <v>185554.62141949832</v>
      </c>
      <c r="C509" s="581">
        <f>B509-B499</f>
        <v>0</v>
      </c>
      <c r="D509" s="585">
        <v>19204.014028790356</v>
      </c>
      <c r="E509" s="586">
        <v>21190.947137849445</v>
      </c>
      <c r="F509" s="586">
        <v>21509.272967269404</v>
      </c>
      <c r="G509" s="586">
        <v>21594.092620533091</v>
      </c>
      <c r="H509" s="586">
        <v>17697.964581379863</v>
      </c>
      <c r="I509" s="586">
        <v>21814.125028474416</v>
      </c>
      <c r="J509" s="586">
        <v>21925.30041189208</v>
      </c>
      <c r="K509" s="586">
        <v>22035.188951611115</v>
      </c>
      <c r="L509" s="586">
        <v>22149.346257942205</v>
      </c>
      <c r="M509" s="586">
        <v>22267.87234804541</v>
      </c>
      <c r="N509" s="586">
        <v>22385.51310293885</v>
      </c>
      <c r="O509" s="587">
        <v>23287.294421911647</v>
      </c>
      <c r="P509" s="167">
        <v>23354.828149657034</v>
      </c>
      <c r="Q509" s="167">
        <v>23411.04103101695</v>
      </c>
      <c r="R509" s="167">
        <v>23472.348361988148</v>
      </c>
      <c r="S509" s="167">
        <v>23543.145372651361</v>
      </c>
      <c r="T509" s="167">
        <v>23591.232459844941</v>
      </c>
      <c r="U509" s="167">
        <v>23628.71623603308</v>
      </c>
      <c r="V509" s="167">
        <v>23671.918310466881</v>
      </c>
      <c r="W509" s="167">
        <v>23818.448342093758</v>
      </c>
      <c r="X509" s="167">
        <v>11803.44142319922</v>
      </c>
      <c r="Y509"/>
      <c r="Z509"/>
      <c r="AA509"/>
      <c r="AB509"/>
      <c r="AC509"/>
      <c r="AD509"/>
      <c r="AE509"/>
      <c r="AF509"/>
      <c r="AG509"/>
    </row>
    <row r="510" spans="1:33" ht="12.75">
      <c r="A510" s="168" t="s">
        <v>34</v>
      </c>
      <c r="B510" s="581">
        <f>NPV(0.1,D510:Y510)</f>
        <v>77265.47892292864</v>
      </c>
      <c r="C510" s="581">
        <f>B510-B500</f>
        <v>40.033883573909407</v>
      </c>
      <c r="D510" s="585">
        <v>1614.9969545871818</v>
      </c>
      <c r="E510" s="586">
        <v>4213.0121994666988</v>
      </c>
      <c r="F510" s="586">
        <v>4603.2705523502282</v>
      </c>
      <c r="G510" s="586">
        <v>4865.8019081318353</v>
      </c>
      <c r="H510" s="586">
        <v>7474.7988184277174</v>
      </c>
      <c r="I510" s="586">
        <v>9662.4774625532391</v>
      </c>
      <c r="J510" s="586">
        <v>10210.130238163041</v>
      </c>
      <c r="K510" s="586">
        <v>10636.856557566331</v>
      </c>
      <c r="L510" s="586">
        <v>11441.387811446522</v>
      </c>
      <c r="M510" s="586">
        <v>11931.083362188001</v>
      </c>
      <c r="N510" s="586">
        <v>12828.192121539178</v>
      </c>
      <c r="O510" s="587">
        <v>12907.515174100727</v>
      </c>
      <c r="P510" s="167">
        <v>13928.53786027103</v>
      </c>
      <c r="Q510" s="167">
        <v>14613.191296102514</v>
      </c>
      <c r="R510" s="167">
        <v>15333.850456534245</v>
      </c>
      <c r="S510" s="167">
        <v>16114.24554882835</v>
      </c>
      <c r="T510" s="167">
        <v>16364.702941404212</v>
      </c>
      <c r="U510" s="167">
        <v>16582.375663821684</v>
      </c>
      <c r="V510" s="167">
        <v>16789.691494452825</v>
      </c>
      <c r="W510" s="167">
        <v>16924.999144618399</v>
      </c>
      <c r="X510" s="167">
        <v>4689.5890170452258</v>
      </c>
      <c r="Y510"/>
      <c r="Z510"/>
      <c r="AA510"/>
      <c r="AB510"/>
      <c r="AC510"/>
      <c r="AD510"/>
      <c r="AE510"/>
      <c r="AF510"/>
      <c r="AG510"/>
    </row>
    <row r="511" spans="1:33" ht="12.75">
      <c r="A511" s="168" t="s">
        <v>31</v>
      </c>
      <c r="B511" s="581">
        <f>NPV(0.1,D511:Y511)</f>
        <v>86091.677274628411</v>
      </c>
      <c r="C511" s="581">
        <f>B511-B501</f>
        <v>40.033883573909407</v>
      </c>
      <c r="D511" s="588">
        <v>2660.9118470433327</v>
      </c>
      <c r="E511" s="589">
        <v>4069.6877376824368</v>
      </c>
      <c r="F511" s="589">
        <v>6616.6578056928274</v>
      </c>
      <c r="G511" s="589">
        <v>6607.5485495379744</v>
      </c>
      <c r="H511" s="589">
        <v>14000.987305366089</v>
      </c>
      <c r="I511" s="589">
        <v>11870.087422407392</v>
      </c>
      <c r="J511" s="589">
        <v>11516.249022570133</v>
      </c>
      <c r="K511" s="589">
        <v>11426.230010236544</v>
      </c>
      <c r="L511" s="589">
        <v>11445.516591406227</v>
      </c>
      <c r="M511" s="589">
        <v>11324.70984797506</v>
      </c>
      <c r="N511" s="589">
        <v>11304.371005278812</v>
      </c>
      <c r="O511" s="590">
        <v>11743.514198090492</v>
      </c>
      <c r="P511" s="167">
        <v>10867.543117564928</v>
      </c>
      <c r="Q511" s="167">
        <v>10655.499201138515</v>
      </c>
      <c r="R511" s="167">
        <v>10418.777969103268</v>
      </c>
      <c r="S511" s="167">
        <v>20589.775415263826</v>
      </c>
      <c r="T511" s="167">
        <v>19055.911237184853</v>
      </c>
      <c r="U511" s="167">
        <v>19223.452323637404</v>
      </c>
      <c r="V511" s="167">
        <v>19430.768154268546</v>
      </c>
      <c r="W511" s="167">
        <v>19663.75812022364</v>
      </c>
      <c r="X511" s="167">
        <v>7477.189150545224</v>
      </c>
      <c r="Y511"/>
      <c r="Z511"/>
      <c r="AA511"/>
      <c r="AB511"/>
      <c r="AC511"/>
      <c r="AD511"/>
      <c r="AE511"/>
      <c r="AF511"/>
      <c r="AG511"/>
    </row>
    <row r="512" spans="1:33" ht="12.75">
      <c r="A512" s="163"/>
      <c r="B512" s="163"/>
      <c r="C512" s="163"/>
      <c r="D512"/>
      <c r="E512"/>
      <c r="F512"/>
      <c r="G512"/>
      <c r="H512"/>
      <c r="I512"/>
      <c r="J512"/>
      <c r="K512"/>
      <c r="L512"/>
      <c r="M512"/>
      <c r="N512"/>
      <c r="O512"/>
      <c r="P512"/>
      <c r="Q512"/>
      <c r="R512"/>
      <c r="S512"/>
      <c r="T512"/>
      <c r="U512"/>
      <c r="V512"/>
      <c r="W512"/>
      <c r="X512"/>
      <c r="Y512"/>
      <c r="Z512"/>
      <c r="AA512"/>
      <c r="AB512"/>
      <c r="AC512"/>
      <c r="AD512"/>
      <c r="AE512"/>
      <c r="AF512"/>
      <c r="AG512"/>
    </row>
    <row r="513" spans="1:33" ht="12.75">
      <c r="A513" s="169" t="s">
        <v>684</v>
      </c>
      <c r="B513" s="163"/>
      <c r="C513" s="163"/>
      <c r="D513"/>
      <c r="E513"/>
      <c r="F513"/>
      <c r="G513"/>
      <c r="H513"/>
      <c r="I513"/>
      <c r="J513"/>
      <c r="K513"/>
      <c r="L513"/>
      <c r="M513"/>
      <c r="N513"/>
      <c r="O513"/>
      <c r="P513"/>
      <c r="Q513"/>
      <c r="R513"/>
      <c r="S513"/>
      <c r="T513"/>
      <c r="U513"/>
      <c r="V513"/>
      <c r="W513"/>
      <c r="X513"/>
      <c r="Y513"/>
      <c r="Z513"/>
      <c r="AA513"/>
      <c r="AB513"/>
      <c r="AC513"/>
      <c r="AD513"/>
      <c r="AE513"/>
      <c r="AF513"/>
      <c r="AG513"/>
    </row>
    <row r="514" spans="1:33" ht="12.75">
      <c r="A514" s="416">
        <v>36320</v>
      </c>
      <c r="B514" s="163"/>
      <c r="C514" s="163"/>
      <c r="D514"/>
      <c r="E514"/>
      <c r="F514"/>
      <c r="G514"/>
      <c r="H514"/>
      <c r="I514"/>
      <c r="J514"/>
      <c r="K514"/>
      <c r="L514"/>
      <c r="M514"/>
      <c r="N514"/>
      <c r="O514"/>
      <c r="P514"/>
      <c r="Q514"/>
      <c r="R514"/>
      <c r="S514"/>
      <c r="T514"/>
      <c r="U514"/>
      <c r="V514"/>
      <c r="W514"/>
      <c r="X514"/>
      <c r="Y514"/>
      <c r="Z514"/>
      <c r="AA514"/>
      <c r="AB514"/>
      <c r="AC514"/>
      <c r="AD514"/>
      <c r="AE514"/>
      <c r="AF514"/>
      <c r="AG514"/>
    </row>
    <row r="515" spans="1:33" ht="12.75">
      <c r="A515" s="164" t="s">
        <v>427</v>
      </c>
      <c r="B515" s="172">
        <v>22820.202460901091</v>
      </c>
      <c r="C515" s="163"/>
      <c r="D515"/>
      <c r="E515"/>
      <c r="F515"/>
      <c r="G515"/>
      <c r="H515"/>
      <c r="I515"/>
      <c r="J515"/>
      <c r="K515"/>
      <c r="L515"/>
      <c r="M515"/>
      <c r="N515"/>
      <c r="O515"/>
      <c r="P515"/>
      <c r="Q515"/>
      <c r="R515"/>
      <c r="S515"/>
      <c r="T515"/>
      <c r="U515"/>
      <c r="V515"/>
      <c r="W515"/>
      <c r="X515"/>
      <c r="Y515"/>
      <c r="Z515"/>
      <c r="AA515"/>
      <c r="AB515"/>
      <c r="AC515"/>
      <c r="AD515"/>
      <c r="AE515"/>
      <c r="AF515"/>
      <c r="AG515"/>
    </row>
    <row r="516" spans="1:33" ht="12.75">
      <c r="A516" s="165" t="s">
        <v>428</v>
      </c>
      <c r="B516" s="173">
        <v>50563.553515821754</v>
      </c>
      <c r="C516" s="163"/>
      <c r="D516"/>
      <c r="E516"/>
      <c r="F516"/>
      <c r="G516"/>
      <c r="H516"/>
      <c r="I516"/>
      <c r="J516"/>
      <c r="K516"/>
      <c r="L516"/>
      <c r="M516"/>
      <c r="N516"/>
      <c r="O516"/>
      <c r="P516"/>
      <c r="Q516"/>
      <c r="R516"/>
      <c r="S516"/>
      <c r="T516"/>
      <c r="U516"/>
      <c r="V516"/>
      <c r="W516"/>
      <c r="X516"/>
      <c r="Y516"/>
      <c r="Z516"/>
      <c r="AA516"/>
      <c r="AB516"/>
      <c r="AC516"/>
      <c r="AD516"/>
      <c r="AE516"/>
      <c r="AF516"/>
      <c r="AG516"/>
    </row>
    <row r="517" spans="1:33" ht="12.75">
      <c r="A517" s="166" t="s">
        <v>429</v>
      </c>
      <c r="B517" s="580" t="s">
        <v>499</v>
      </c>
      <c r="C517" s="580" t="s">
        <v>500</v>
      </c>
      <c r="D517" s="582">
        <v>1999</v>
      </c>
      <c r="E517" s="583">
        <v>2000</v>
      </c>
      <c r="F517" s="583">
        <v>2001</v>
      </c>
      <c r="G517" s="583">
        <v>2002</v>
      </c>
      <c r="H517" s="583">
        <v>2003</v>
      </c>
      <c r="I517" s="583">
        <v>2004</v>
      </c>
      <c r="J517" s="583">
        <v>2005</v>
      </c>
      <c r="K517" s="583">
        <v>2006</v>
      </c>
      <c r="L517" s="583">
        <v>2007</v>
      </c>
      <c r="M517" s="583">
        <v>2008</v>
      </c>
      <c r="N517" s="583">
        <v>2009</v>
      </c>
      <c r="O517" s="584">
        <v>2010</v>
      </c>
      <c r="P517" s="171">
        <v>2011</v>
      </c>
      <c r="Q517" s="171">
        <v>2012</v>
      </c>
      <c r="R517" s="171">
        <v>2013</v>
      </c>
      <c r="S517" s="171">
        <v>2014</v>
      </c>
      <c r="T517" s="171">
        <v>2015</v>
      </c>
      <c r="U517" s="171">
        <v>2016</v>
      </c>
      <c r="V517" s="171">
        <v>2017</v>
      </c>
      <c r="W517" s="171">
        <v>2018</v>
      </c>
      <c r="X517" s="171">
        <v>2019</v>
      </c>
      <c r="Y517"/>
      <c r="Z517"/>
      <c r="AA517"/>
      <c r="AB517"/>
      <c r="AC517"/>
      <c r="AD517"/>
      <c r="AE517"/>
      <c r="AF517"/>
      <c r="AG517"/>
    </row>
    <row r="518" spans="1:33" ht="12.75">
      <c r="A518" s="166" t="s">
        <v>430</v>
      </c>
      <c r="B518" s="581">
        <f>NPV(0.1,D518:Y518)</f>
        <v>390111.77648565418</v>
      </c>
      <c r="C518" s="581">
        <f>B518-B508</f>
        <v>4851.1108822763781</v>
      </c>
      <c r="D518" s="585">
        <v>27166.178482499996</v>
      </c>
      <c r="E518" s="586">
        <v>40347.877337477374</v>
      </c>
      <c r="F518" s="586">
        <v>40941.122864717196</v>
      </c>
      <c r="G518" s="586">
        <v>40999.602500183712</v>
      </c>
      <c r="H518" s="586">
        <v>45068.739154627998</v>
      </c>
      <c r="I518" s="586">
        <v>48202.989365170615</v>
      </c>
      <c r="J518" s="586">
        <v>48607.360157364936</v>
      </c>
      <c r="K518" s="586">
        <v>49007.668220829626</v>
      </c>
      <c r="L518" s="586">
        <v>49975.974461875514</v>
      </c>
      <c r="M518" s="586">
        <v>50383.481228292774</v>
      </c>
      <c r="N518" s="586">
        <v>51393.061859562556</v>
      </c>
      <c r="O518" s="587">
        <v>51807.159464403165</v>
      </c>
      <c r="P518" s="167">
        <v>52859.450442756264</v>
      </c>
      <c r="Q518" s="167">
        <v>53279.430284969814</v>
      </c>
      <c r="R518" s="167">
        <v>53692.093126485066</v>
      </c>
      <c r="S518" s="167">
        <v>54096.621965402126</v>
      </c>
      <c r="T518" s="167">
        <v>54492.157365007748</v>
      </c>
      <c r="U518" s="167">
        <v>54877.795642988218</v>
      </c>
      <c r="V518" s="167">
        <v>55252.586990186377</v>
      </c>
      <c r="W518" s="167">
        <v>55615.533516305099</v>
      </c>
      <c r="X518" s="167">
        <v>24030.719825663589</v>
      </c>
      <c r="Y518"/>
      <c r="Z518"/>
      <c r="AA518"/>
      <c r="AB518"/>
      <c r="AC518"/>
      <c r="AD518"/>
      <c r="AE518"/>
      <c r="AF518"/>
      <c r="AG518"/>
    </row>
    <row r="519" spans="1:33" ht="12.75">
      <c r="A519" s="168" t="s">
        <v>431</v>
      </c>
      <c r="B519" s="581">
        <f>NPV(0.1,D519:Y519)</f>
        <v>190405.73230177452</v>
      </c>
      <c r="C519" s="581">
        <f>B519-B509</f>
        <v>4851.1108822762035</v>
      </c>
      <c r="D519" s="585">
        <v>19471.975551290358</v>
      </c>
      <c r="E519" s="586">
        <v>21458.908660349447</v>
      </c>
      <c r="F519" s="586">
        <v>21777.234489769402</v>
      </c>
      <c r="G519" s="586">
        <v>21862.054143033085</v>
      </c>
      <c r="H519" s="586">
        <v>22046.303920546528</v>
      </c>
      <c r="I519" s="586">
        <v>22082.086550974414</v>
      </c>
      <c r="J519" s="586">
        <v>22193.261934392078</v>
      </c>
      <c r="K519" s="586">
        <v>22303.150474111117</v>
      </c>
      <c r="L519" s="586">
        <v>22417.307780442203</v>
      </c>
      <c r="M519" s="586">
        <v>22535.833870545408</v>
      </c>
      <c r="N519" s="586">
        <v>22653.474625438852</v>
      </c>
      <c r="O519" s="587">
        <v>23555.255944411649</v>
      </c>
      <c r="P519" s="167">
        <v>23622.789672157032</v>
      </c>
      <c r="Q519" s="167">
        <v>23679.002553516952</v>
      </c>
      <c r="R519" s="167">
        <v>23740.30988448815</v>
      </c>
      <c r="S519" s="167">
        <v>23811.106895151363</v>
      </c>
      <c r="T519" s="167">
        <v>23859.193982344939</v>
      </c>
      <c r="U519" s="167">
        <v>23896.677758533082</v>
      </c>
      <c r="V519" s="167">
        <v>23939.879832966883</v>
      </c>
      <c r="W519" s="167">
        <v>24086.409864593756</v>
      </c>
      <c r="X519" s="167">
        <v>12071.402945699221</v>
      </c>
      <c r="Y519"/>
      <c r="Z519"/>
      <c r="AA519"/>
      <c r="AB519"/>
      <c r="AC519"/>
      <c r="AD519"/>
      <c r="AE519"/>
      <c r="AF519"/>
      <c r="AG519"/>
    </row>
    <row r="520" spans="1:33" ht="12.75">
      <c r="A520" s="168" t="s">
        <v>34</v>
      </c>
      <c r="B520" s="581">
        <f>NPV(0.1,D520:Y520)</f>
        <v>77265.478922928654</v>
      </c>
      <c r="C520" s="581">
        <f>B520-B510</f>
        <v>0</v>
      </c>
      <c r="D520" s="585">
        <v>1614.9969545871818</v>
      </c>
      <c r="E520" s="586">
        <v>4213.0121994666988</v>
      </c>
      <c r="F520" s="586">
        <v>4603.27055235023</v>
      </c>
      <c r="G520" s="586">
        <v>4865.8019081318407</v>
      </c>
      <c r="H520" s="586">
        <v>7474.7988184277192</v>
      </c>
      <c r="I520" s="586">
        <v>9662.4774625532427</v>
      </c>
      <c r="J520" s="586">
        <v>10210.130238163041</v>
      </c>
      <c r="K520" s="586">
        <v>10636.856557566331</v>
      </c>
      <c r="L520" s="586">
        <v>11441.387811446522</v>
      </c>
      <c r="M520" s="586">
        <v>11931.083362188007</v>
      </c>
      <c r="N520" s="586">
        <v>12828.192121539178</v>
      </c>
      <c r="O520" s="587">
        <v>12907.515174100727</v>
      </c>
      <c r="P520" s="167">
        <v>13928.537860271033</v>
      </c>
      <c r="Q520" s="167">
        <v>14613.191296102515</v>
      </c>
      <c r="R520" s="167">
        <v>15333.850456534246</v>
      </c>
      <c r="S520" s="167">
        <v>16114.245548828347</v>
      </c>
      <c r="T520" s="167">
        <v>16364.702941404214</v>
      </c>
      <c r="U520" s="167">
        <v>16582.375663821684</v>
      </c>
      <c r="V520" s="167">
        <v>16789.691494452825</v>
      </c>
      <c r="W520" s="167">
        <v>16924.999144618399</v>
      </c>
      <c r="X520" s="167">
        <v>4689.589017045223</v>
      </c>
      <c r="Y520"/>
      <c r="Z520"/>
      <c r="AA520"/>
      <c r="AB520"/>
      <c r="AC520"/>
      <c r="AD520"/>
      <c r="AE520"/>
      <c r="AF520"/>
      <c r="AG520"/>
    </row>
    <row r="521" spans="1:33" ht="12.75">
      <c r="A521" s="168" t="s">
        <v>31</v>
      </c>
      <c r="B521" s="581">
        <f>NPV(0.1,D521:Y521)</f>
        <v>86091.677274628411</v>
      </c>
      <c r="C521" s="581">
        <f>B521-B511</f>
        <v>0</v>
      </c>
      <c r="D521" s="588">
        <v>2660.9118470433327</v>
      </c>
      <c r="E521" s="589">
        <v>4069.6877376824323</v>
      </c>
      <c r="F521" s="589">
        <v>6616.6578056928292</v>
      </c>
      <c r="G521" s="589">
        <v>6607.5485495379771</v>
      </c>
      <c r="H521" s="589">
        <v>14000.987305366085</v>
      </c>
      <c r="I521" s="589">
        <v>11870.087422407396</v>
      </c>
      <c r="J521" s="589">
        <v>11516.249022570128</v>
      </c>
      <c r="K521" s="589">
        <v>11426.230010236544</v>
      </c>
      <c r="L521" s="589">
        <v>11445.516591406227</v>
      </c>
      <c r="M521" s="589">
        <v>11324.70984797506</v>
      </c>
      <c r="N521" s="589">
        <v>11304.371005278808</v>
      </c>
      <c r="O521" s="590">
        <v>11743.514198090492</v>
      </c>
      <c r="P521" s="167">
        <v>10867.543117564926</v>
      </c>
      <c r="Q521" s="167">
        <v>10655.499201138518</v>
      </c>
      <c r="R521" s="167">
        <v>10418.777969103268</v>
      </c>
      <c r="S521" s="167">
        <v>20589.775415263823</v>
      </c>
      <c r="T521" s="167">
        <v>19055.911237184857</v>
      </c>
      <c r="U521" s="167">
        <v>19223.452323637404</v>
      </c>
      <c r="V521" s="167">
        <v>19430.768154268546</v>
      </c>
      <c r="W521" s="167">
        <v>19663.75812022364</v>
      </c>
      <c r="X521" s="167">
        <v>7477.1891505452222</v>
      </c>
      <c r="Y521"/>
      <c r="Z521"/>
      <c r="AA521"/>
      <c r="AB521"/>
      <c r="AC521"/>
      <c r="AD521"/>
      <c r="AE521"/>
      <c r="AF521"/>
      <c r="AG521"/>
    </row>
    <row r="522" spans="1:33" ht="12.75">
      <c r="A522" s="163"/>
      <c r="B522" s="163"/>
      <c r="C522" s="163"/>
      <c r="D522"/>
      <c r="E522"/>
      <c r="F522"/>
      <c r="G522"/>
      <c r="H522"/>
      <c r="I522"/>
      <c r="J522"/>
      <c r="K522"/>
      <c r="L522"/>
      <c r="M522"/>
      <c r="N522"/>
      <c r="O522"/>
      <c r="P522"/>
      <c r="Q522"/>
      <c r="R522"/>
      <c r="S522"/>
      <c r="T522"/>
      <c r="U522"/>
      <c r="V522"/>
      <c r="W522"/>
      <c r="X522"/>
      <c r="Y522"/>
      <c r="Z522"/>
      <c r="AA522"/>
      <c r="AB522"/>
      <c r="AC522"/>
      <c r="AD522"/>
      <c r="AE522"/>
      <c r="AF522"/>
      <c r="AG522"/>
    </row>
    <row r="523" spans="1:33" ht="12.75">
      <c r="A523" s="169" t="s">
        <v>685</v>
      </c>
      <c r="B523" s="163"/>
      <c r="C523" s="163"/>
      <c r="D523"/>
      <c r="E523"/>
      <c r="F523"/>
      <c r="G523"/>
      <c r="H523"/>
      <c r="I523"/>
      <c r="J523"/>
      <c r="K523"/>
      <c r="L523"/>
      <c r="M523"/>
      <c r="N523"/>
      <c r="O523"/>
      <c r="P523"/>
      <c r="Q523"/>
      <c r="R523"/>
      <c r="S523"/>
      <c r="T523"/>
      <c r="U523"/>
      <c r="V523"/>
      <c r="W523"/>
      <c r="X523"/>
      <c r="Y523"/>
      <c r="Z523"/>
      <c r="AA523"/>
      <c r="AB523"/>
      <c r="AC523"/>
      <c r="AD523"/>
      <c r="AE523"/>
      <c r="AF523"/>
      <c r="AG523"/>
    </row>
    <row r="524" spans="1:33" ht="12.75">
      <c r="A524" s="416">
        <v>36322</v>
      </c>
      <c r="B524" s="163"/>
      <c r="C524" s="163"/>
      <c r="D524"/>
      <c r="E524"/>
      <c r="F524"/>
      <c r="G524"/>
      <c r="H524"/>
      <c r="I524"/>
      <c r="J524"/>
      <c r="K524"/>
      <c r="L524"/>
      <c r="M524"/>
      <c r="N524"/>
      <c r="O524"/>
      <c r="P524"/>
      <c r="Q524"/>
      <c r="R524"/>
      <c r="S524"/>
      <c r="T524"/>
      <c r="U524"/>
      <c r="V524"/>
      <c r="W524"/>
      <c r="X524"/>
      <c r="Y524"/>
      <c r="Z524"/>
      <c r="AA524"/>
      <c r="AB524"/>
      <c r="AC524"/>
      <c r="AD524"/>
      <c r="AE524"/>
      <c r="AF524"/>
      <c r="AG524"/>
    </row>
    <row r="525" spans="1:33" ht="12.75">
      <c r="A525" s="164" t="s">
        <v>427</v>
      </c>
      <c r="B525" s="172">
        <v>22850.659748334008</v>
      </c>
      <c r="C525" s="163"/>
      <c r="D525"/>
      <c r="E525"/>
      <c r="F525"/>
      <c r="G525"/>
      <c r="H525"/>
      <c r="I525"/>
      <c r="J525"/>
      <c r="K525"/>
      <c r="L525"/>
      <c r="M525"/>
      <c r="N525"/>
      <c r="O525"/>
      <c r="P525"/>
      <c r="Q525"/>
      <c r="R525"/>
      <c r="S525"/>
      <c r="T525"/>
      <c r="U525"/>
      <c r="V525"/>
      <c r="W525"/>
      <c r="X525"/>
      <c r="Y525"/>
      <c r="Z525"/>
      <c r="AA525"/>
      <c r="AB525"/>
      <c r="AC525"/>
      <c r="AD525"/>
      <c r="AE525"/>
      <c r="AF525"/>
      <c r="AG525"/>
    </row>
    <row r="526" spans="1:33" ht="12.75">
      <c r="A526" s="165" t="s">
        <v>428</v>
      </c>
      <c r="B526" s="173">
        <v>50597.974028886791</v>
      </c>
      <c r="C526" s="163"/>
      <c r="D526"/>
      <c r="E526"/>
      <c r="F526"/>
      <c r="G526"/>
      <c r="H526"/>
      <c r="I526"/>
      <c r="J526"/>
      <c r="K526"/>
      <c r="L526"/>
      <c r="M526"/>
      <c r="N526"/>
      <c r="O526"/>
      <c r="P526"/>
      <c r="Q526"/>
      <c r="R526"/>
      <c r="S526"/>
      <c r="T526"/>
      <c r="U526"/>
      <c r="V526"/>
      <c r="W526"/>
      <c r="X526"/>
      <c r="Y526"/>
      <c r="Z526"/>
      <c r="AA526"/>
      <c r="AB526"/>
      <c r="AC526"/>
      <c r="AD526"/>
      <c r="AE526"/>
      <c r="AF526"/>
      <c r="AG526"/>
    </row>
    <row r="527" spans="1:33" ht="12.75">
      <c r="A527" s="166" t="s">
        <v>429</v>
      </c>
      <c r="B527" s="580" t="s">
        <v>499</v>
      </c>
      <c r="C527" s="580" t="s">
        <v>500</v>
      </c>
      <c r="D527" s="582">
        <v>1999</v>
      </c>
      <c r="E527" s="583">
        <v>2000</v>
      </c>
      <c r="F527" s="583">
        <v>2001</v>
      </c>
      <c r="G527" s="583">
        <v>2002</v>
      </c>
      <c r="H527" s="583">
        <v>2003</v>
      </c>
      <c r="I527" s="583">
        <v>2004</v>
      </c>
      <c r="J527" s="583">
        <v>2005</v>
      </c>
      <c r="K527" s="583">
        <v>2006</v>
      </c>
      <c r="L527" s="583">
        <v>2007</v>
      </c>
      <c r="M527" s="583">
        <v>2008</v>
      </c>
      <c r="N527" s="583">
        <v>2009</v>
      </c>
      <c r="O527" s="584">
        <v>2010</v>
      </c>
      <c r="P527" s="171">
        <v>2011</v>
      </c>
      <c r="Q527" s="171">
        <v>2012</v>
      </c>
      <c r="R527" s="171">
        <v>2013</v>
      </c>
      <c r="S527" s="171">
        <v>2014</v>
      </c>
      <c r="T527" s="171">
        <v>2015</v>
      </c>
      <c r="U527" s="171">
        <v>2016</v>
      </c>
      <c r="V527" s="171">
        <v>2017</v>
      </c>
      <c r="W527" s="171">
        <v>2018</v>
      </c>
      <c r="X527" s="171">
        <v>2019</v>
      </c>
      <c r="Y527"/>
      <c r="Z527"/>
      <c r="AA527"/>
      <c r="AB527"/>
      <c r="AC527"/>
      <c r="AD527"/>
      <c r="AE527"/>
      <c r="AF527"/>
      <c r="AG527"/>
    </row>
    <row r="528" spans="1:33" ht="12.75">
      <c r="A528" s="166" t="s">
        <v>430</v>
      </c>
      <c r="B528" s="581">
        <f>NPV(0.1,D528:Y528)</f>
        <v>390111.77648565418</v>
      </c>
      <c r="C528" s="581">
        <f>B528-B518</f>
        <v>0</v>
      </c>
      <c r="D528" s="585">
        <v>27166.178482499996</v>
      </c>
      <c r="E528" s="586">
        <v>40347.877337477374</v>
      </c>
      <c r="F528" s="586">
        <v>40941.122864717196</v>
      </c>
      <c r="G528" s="586">
        <v>40999.602500183712</v>
      </c>
      <c r="H528" s="586">
        <v>45068.739154627998</v>
      </c>
      <c r="I528" s="586">
        <v>48202.989365170615</v>
      </c>
      <c r="J528" s="586">
        <v>48607.360157364936</v>
      </c>
      <c r="K528" s="586">
        <v>49007.668220829626</v>
      </c>
      <c r="L528" s="586">
        <v>49975.974461875514</v>
      </c>
      <c r="M528" s="586">
        <v>50383.481228292774</v>
      </c>
      <c r="N528" s="586">
        <v>51393.061859562556</v>
      </c>
      <c r="O528" s="587">
        <v>51807.159464403165</v>
      </c>
      <c r="P528" s="167">
        <v>52859.450442756264</v>
      </c>
      <c r="Q528" s="167">
        <v>53279.430284969814</v>
      </c>
      <c r="R528" s="167">
        <v>53692.093126485066</v>
      </c>
      <c r="S528" s="167">
        <v>54096.621965402126</v>
      </c>
      <c r="T528" s="167">
        <v>54492.157365007748</v>
      </c>
      <c r="U528" s="167">
        <v>54877.795642988218</v>
      </c>
      <c r="V528" s="167">
        <v>55252.586990186377</v>
      </c>
      <c r="W528" s="167">
        <v>55615.533516305099</v>
      </c>
      <c r="X528" s="167">
        <v>24030.719825663589</v>
      </c>
      <c r="Y528"/>
      <c r="Z528"/>
      <c r="AA528"/>
      <c r="AB528"/>
      <c r="AC528"/>
      <c r="AD528"/>
      <c r="AE528"/>
      <c r="AF528"/>
      <c r="AG528"/>
    </row>
    <row r="529" spans="1:33" ht="12.75">
      <c r="A529" s="168" t="s">
        <v>431</v>
      </c>
      <c r="B529" s="581">
        <f>NPV(0.1,D529:Y529)</f>
        <v>190410.44458801803</v>
      </c>
      <c r="C529" s="581">
        <f>B529-B519</f>
        <v>4.7122862435062416</v>
      </c>
      <c r="D529" s="585">
        <v>19471.87387381314</v>
      </c>
      <c r="E529" s="586">
        <v>21459.497173131236</v>
      </c>
      <c r="F529" s="586">
        <v>21777.79755720729</v>
      </c>
      <c r="G529" s="586">
        <v>21862.591755020625</v>
      </c>
      <c r="H529" s="586">
        <v>22046.819158737653</v>
      </c>
      <c r="I529" s="586">
        <v>22082.58047288554</v>
      </c>
      <c r="J529" s="586">
        <v>22193.743743431845</v>
      </c>
      <c r="K529" s="586">
        <v>22303.613099720955</v>
      </c>
      <c r="L529" s="586">
        <v>22417.751207778434</v>
      </c>
      <c r="M529" s="586">
        <v>22536.25811445171</v>
      </c>
      <c r="N529" s="586">
        <v>22653.872585669298</v>
      </c>
      <c r="O529" s="587">
        <v>23556.647933733861</v>
      </c>
      <c r="P529" s="167">
        <v>23624.077438378641</v>
      </c>
      <c r="Q529" s="167">
        <v>23680.164855274885</v>
      </c>
      <c r="R529" s="167">
        <v>23741.34670693873</v>
      </c>
      <c r="S529" s="167">
        <v>23812.019646423621</v>
      </c>
      <c r="T529" s="167">
        <v>23859.943872959957</v>
      </c>
      <c r="U529" s="167">
        <v>23897.243532284108</v>
      </c>
      <c r="V529" s="167">
        <v>23940.261489853918</v>
      </c>
      <c r="W529" s="167">
        <v>24086.734941857292</v>
      </c>
      <c r="X529" s="167">
        <v>12071.735211959513</v>
      </c>
      <c r="Y529"/>
      <c r="Z529"/>
      <c r="AA529"/>
      <c r="AB529"/>
      <c r="AC529"/>
      <c r="AD529"/>
      <c r="AE529"/>
      <c r="AF529"/>
      <c r="AG529"/>
    </row>
    <row r="530" spans="1:33" ht="12.75">
      <c r="A530" s="168" t="s">
        <v>34</v>
      </c>
      <c r="B530" s="581">
        <f>NPV(0.1,D530:Y530)</f>
        <v>77247.082305517208</v>
      </c>
      <c r="C530" s="581">
        <f>B530-B520</f>
        <v>-18.396617411446641</v>
      </c>
      <c r="D530" s="585">
        <v>1613.1663057427836</v>
      </c>
      <c r="E530" s="586">
        <v>4208.1050232640946</v>
      </c>
      <c r="F530" s="586">
        <v>4598.369817968487</v>
      </c>
      <c r="G530" s="586">
        <v>4860.9077000030848</v>
      </c>
      <c r="H530" s="586">
        <v>7469.9122606117171</v>
      </c>
      <c r="I530" s="586">
        <v>9659.311810890129</v>
      </c>
      <c r="J530" s="586">
        <v>10209.36401922406</v>
      </c>
      <c r="K530" s="586">
        <v>10636.100008740003</v>
      </c>
      <c r="L530" s="586">
        <v>11440.641135179769</v>
      </c>
      <c r="M530" s="586">
        <v>11930.346758113286</v>
      </c>
      <c r="N530" s="586">
        <v>12827.470254196101</v>
      </c>
      <c r="O530" s="587">
        <v>12906.170508476331</v>
      </c>
      <c r="P530" s="167">
        <v>13927.237297200949</v>
      </c>
      <c r="Q530" s="167">
        <v>14611.94849075909</v>
      </c>
      <c r="R530" s="167">
        <v>15332.666242575147</v>
      </c>
      <c r="S530" s="167">
        <v>16114.549328916068</v>
      </c>
      <c r="T530" s="167">
        <v>16367.109694431256</v>
      </c>
      <c r="U530" s="167">
        <v>16584.897530164286</v>
      </c>
      <c r="V530" s="167">
        <v>16792.328474110986</v>
      </c>
      <c r="W530" s="167">
        <v>16927.67149891804</v>
      </c>
      <c r="X530" s="167">
        <v>4692.2568766492959</v>
      </c>
      <c r="Y530"/>
      <c r="Z530"/>
      <c r="AA530"/>
      <c r="AB530"/>
      <c r="AC530"/>
      <c r="AD530"/>
      <c r="AE530"/>
      <c r="AF530"/>
      <c r="AG530"/>
    </row>
    <row r="531" spans="1:33" ht="12.75">
      <c r="A531" s="168" t="s">
        <v>31</v>
      </c>
      <c r="B531" s="581">
        <f>NPV(0.1,D531:Y531)</f>
        <v>86085.090051250445</v>
      </c>
      <c r="C531" s="581">
        <f>B531-B521</f>
        <v>-6.5872233779664384</v>
      </c>
      <c r="D531" s="588">
        <v>2660.9470105042046</v>
      </c>
      <c r="E531" s="589">
        <v>4070.1874232002519</v>
      </c>
      <c r="F531" s="589">
        <v>6616.4488718835946</v>
      </c>
      <c r="G531" s="589">
        <v>6607.3484190719892</v>
      </c>
      <c r="H531" s="589">
        <v>13999.420115223989</v>
      </c>
      <c r="I531" s="589">
        <v>11869.813795518174</v>
      </c>
      <c r="J531" s="589">
        <v>11514.692463071005</v>
      </c>
      <c r="K531" s="589">
        <v>11424.666169968295</v>
      </c>
      <c r="L531" s="589">
        <v>11443.964332160409</v>
      </c>
      <c r="M531" s="589">
        <v>11323.157162058942</v>
      </c>
      <c r="N531" s="589">
        <v>11302.82412400419</v>
      </c>
      <c r="O531" s="590">
        <v>11742.761173519109</v>
      </c>
      <c r="P531" s="167">
        <v>10865.73155870413</v>
      </c>
      <c r="Q531" s="167">
        <v>10653.701465256921</v>
      </c>
      <c r="R531" s="167">
        <v>10417.026733319837</v>
      </c>
      <c r="S531" s="167">
        <v>20588.564913601625</v>
      </c>
      <c r="T531" s="167">
        <v>19055.271915668298</v>
      </c>
      <c r="U531" s="167">
        <v>19222.906805955954</v>
      </c>
      <c r="V531" s="167">
        <v>19430.337749902654</v>
      </c>
      <c r="W531" s="167">
        <v>19663.490947381932</v>
      </c>
      <c r="X531" s="167">
        <v>7476.9814114492965</v>
      </c>
      <c r="Y531"/>
      <c r="Z531"/>
      <c r="AA531"/>
      <c r="AB531"/>
      <c r="AC531"/>
      <c r="AD531"/>
      <c r="AE531"/>
      <c r="AF531"/>
      <c r="AG531"/>
    </row>
    <row r="532" spans="1:33" ht="12.75">
      <c r="A532" s="163"/>
      <c r="B532" s="163"/>
      <c r="C532" s="163"/>
      <c r="D532"/>
      <c r="E532"/>
      <c r="F532"/>
      <c r="G532"/>
      <c r="H532"/>
      <c r="I532"/>
      <c r="J532"/>
      <c r="K532"/>
      <c r="L532"/>
      <c r="M532"/>
      <c r="N532"/>
      <c r="O532"/>
      <c r="P532"/>
      <c r="Q532"/>
      <c r="R532"/>
      <c r="S532"/>
      <c r="T532"/>
      <c r="U532"/>
      <c r="V532"/>
      <c r="W532"/>
      <c r="X532"/>
      <c r="Y532"/>
      <c r="Z532"/>
      <c r="AA532"/>
      <c r="AB532"/>
      <c r="AC532"/>
      <c r="AD532"/>
      <c r="AE532"/>
      <c r="AF532"/>
      <c r="AG532"/>
    </row>
    <row r="533" spans="1:33" ht="12.75">
      <c r="A533" s="169" t="s">
        <v>687</v>
      </c>
      <c r="B533" s="163"/>
      <c r="C533" s="163"/>
      <c r="D533"/>
      <c r="E533"/>
      <c r="F533"/>
      <c r="G533"/>
      <c r="H533"/>
      <c r="I533"/>
      <c r="J533"/>
      <c r="K533"/>
      <c r="L533"/>
      <c r="M533"/>
      <c r="N533"/>
      <c r="O533"/>
      <c r="P533"/>
      <c r="Q533"/>
      <c r="R533"/>
      <c r="S533"/>
      <c r="T533"/>
      <c r="U533"/>
      <c r="V533"/>
      <c r="W533"/>
      <c r="X533"/>
      <c r="Y533"/>
      <c r="Z533"/>
      <c r="AA533"/>
      <c r="AB533"/>
      <c r="AC533"/>
      <c r="AD533"/>
      <c r="AE533"/>
      <c r="AF533"/>
      <c r="AG533"/>
    </row>
    <row r="534" spans="1:33" ht="12.75">
      <c r="A534" s="416">
        <v>36340</v>
      </c>
      <c r="B534" s="163"/>
      <c r="C534" s="163"/>
      <c r="D534"/>
      <c r="E534"/>
      <c r="F534"/>
      <c r="G534"/>
      <c r="H534"/>
      <c r="I534"/>
      <c r="J534"/>
      <c r="K534"/>
      <c r="L534"/>
      <c r="M534"/>
      <c r="N534"/>
      <c r="O534"/>
      <c r="P534"/>
      <c r="Q534"/>
      <c r="R534"/>
      <c r="S534"/>
      <c r="T534"/>
      <c r="U534"/>
      <c r="V534"/>
      <c r="W534"/>
      <c r="X534"/>
      <c r="Y534"/>
      <c r="Z534"/>
      <c r="AA534"/>
      <c r="AB534"/>
      <c r="AC534"/>
      <c r="AD534"/>
      <c r="AE534"/>
      <c r="AF534"/>
      <c r="AG534"/>
    </row>
    <row r="535" spans="1:33" ht="12.75">
      <c r="A535" s="164" t="s">
        <v>427</v>
      </c>
      <c r="B535" s="172">
        <v>27078.588659085832</v>
      </c>
      <c r="C535" s="163"/>
      <c r="D535"/>
      <c r="E535"/>
      <c r="F535"/>
      <c r="G535"/>
      <c r="H535"/>
      <c r="I535"/>
      <c r="J535"/>
      <c r="K535"/>
      <c r="L535"/>
      <c r="M535"/>
      <c r="N535"/>
      <c r="O535"/>
      <c r="P535"/>
      <c r="Q535"/>
      <c r="R535"/>
      <c r="S535"/>
      <c r="T535"/>
      <c r="U535"/>
      <c r="V535"/>
      <c r="W535"/>
      <c r="X535"/>
      <c r="Y535"/>
      <c r="Z535"/>
      <c r="AA535"/>
      <c r="AB535"/>
      <c r="AC535"/>
      <c r="AD535"/>
      <c r="AE535"/>
      <c r="AF535"/>
      <c r="AG535"/>
    </row>
    <row r="536" spans="1:33" ht="12.75">
      <c r="A536" s="165" t="s">
        <v>428</v>
      </c>
      <c r="B536" s="173">
        <v>50263.431438835032</v>
      </c>
      <c r="C536" s="163"/>
      <c r="D536"/>
      <c r="E536"/>
      <c r="F536"/>
      <c r="G536"/>
      <c r="H536"/>
      <c r="I536"/>
      <c r="J536"/>
      <c r="K536"/>
      <c r="L536"/>
      <c r="M536"/>
      <c r="N536"/>
      <c r="O536"/>
      <c r="P536"/>
      <c r="Q536"/>
      <c r="R536"/>
      <c r="S536"/>
      <c r="T536"/>
      <c r="U536"/>
      <c r="V536"/>
      <c r="W536"/>
      <c r="X536"/>
      <c r="Y536"/>
      <c r="Z536"/>
      <c r="AA536"/>
      <c r="AB536"/>
      <c r="AC536"/>
      <c r="AD536"/>
      <c r="AE536"/>
      <c r="AF536"/>
      <c r="AG536"/>
    </row>
    <row r="537" spans="1:33" ht="12.75">
      <c r="A537" s="166" t="s">
        <v>429</v>
      </c>
      <c r="B537" s="580" t="s">
        <v>499</v>
      </c>
      <c r="C537" s="580" t="s">
        <v>500</v>
      </c>
      <c r="D537" s="582">
        <v>1999</v>
      </c>
      <c r="E537" s="583">
        <v>2000</v>
      </c>
      <c r="F537" s="583">
        <v>2001</v>
      </c>
      <c r="G537" s="583">
        <v>2002</v>
      </c>
      <c r="H537" s="583">
        <v>2003</v>
      </c>
      <c r="I537" s="583">
        <v>2004</v>
      </c>
      <c r="J537" s="583">
        <v>2005</v>
      </c>
      <c r="K537" s="583">
        <v>2006</v>
      </c>
      <c r="L537" s="583">
        <v>2007</v>
      </c>
      <c r="M537" s="583">
        <v>2008</v>
      </c>
      <c r="N537" s="583">
        <v>2009</v>
      </c>
      <c r="O537" s="584">
        <v>2010</v>
      </c>
      <c r="P537" s="171">
        <v>2011</v>
      </c>
      <c r="Q537" s="171">
        <v>2012</v>
      </c>
      <c r="R537" s="171">
        <v>2013</v>
      </c>
      <c r="S537" s="171">
        <v>2014</v>
      </c>
      <c r="T537" s="171">
        <v>2015</v>
      </c>
      <c r="U537" s="171">
        <v>2016</v>
      </c>
      <c r="V537" s="171">
        <v>2017</v>
      </c>
      <c r="W537" s="171">
        <v>2018</v>
      </c>
      <c r="X537" s="171">
        <v>2019</v>
      </c>
      <c r="Y537"/>
      <c r="Z537"/>
      <c r="AA537"/>
      <c r="AB537"/>
      <c r="AC537"/>
      <c r="AD537"/>
      <c r="AE537"/>
      <c r="AF537"/>
      <c r="AG537"/>
    </row>
    <row r="538" spans="1:33" ht="12.75">
      <c r="A538" s="166" t="s">
        <v>430</v>
      </c>
      <c r="B538" s="581">
        <f>NPV(0.1,D538:Y538)</f>
        <v>390111.77648565418</v>
      </c>
      <c r="C538" s="581">
        <f>B538-B528</f>
        <v>0</v>
      </c>
      <c r="D538" s="585">
        <v>27166.178482499996</v>
      </c>
      <c r="E538" s="586">
        <v>40347.877337477374</v>
      </c>
      <c r="F538" s="586">
        <v>40941.122864717196</v>
      </c>
      <c r="G538" s="586">
        <v>40999.602500183712</v>
      </c>
      <c r="H538" s="586">
        <v>45068.739154627998</v>
      </c>
      <c r="I538" s="586">
        <v>48202.989365170615</v>
      </c>
      <c r="J538" s="586">
        <v>48607.360157364936</v>
      </c>
      <c r="K538" s="586">
        <v>49007.668220829626</v>
      </c>
      <c r="L538" s="586">
        <v>49975.974461875514</v>
      </c>
      <c r="M538" s="586">
        <v>50383.481228292774</v>
      </c>
      <c r="N538" s="586">
        <v>51393.061859562556</v>
      </c>
      <c r="O538" s="587">
        <v>51807.159464403165</v>
      </c>
      <c r="P538" s="167">
        <v>52859.450442756264</v>
      </c>
      <c r="Q538" s="167">
        <v>53279.430284969814</v>
      </c>
      <c r="R538" s="167">
        <v>53692.093126485066</v>
      </c>
      <c r="S538" s="167">
        <v>54096.621965402126</v>
      </c>
      <c r="T538" s="167">
        <v>54492.157365007748</v>
      </c>
      <c r="U538" s="167">
        <v>54877.795642988218</v>
      </c>
      <c r="V538" s="167">
        <v>55252.586990186377</v>
      </c>
      <c r="W538" s="167">
        <v>55615.533516305099</v>
      </c>
      <c r="X538" s="167">
        <v>24030.719825663589</v>
      </c>
      <c r="Y538"/>
      <c r="Z538"/>
      <c r="AA538"/>
      <c r="AB538"/>
      <c r="AC538"/>
      <c r="AD538"/>
      <c r="AE538"/>
      <c r="AF538"/>
      <c r="AG538"/>
    </row>
    <row r="539" spans="1:33" ht="12.75">
      <c r="A539" s="168" t="s">
        <v>431</v>
      </c>
      <c r="B539" s="581">
        <f>NPV(0.1,D539:Y539)</f>
        <v>190445.89255703677</v>
      </c>
      <c r="C539" s="581">
        <f>B539-B529</f>
        <v>35.447969018743606</v>
      </c>
      <c r="D539" s="585">
        <v>19477.642757532289</v>
      </c>
      <c r="E539" s="586">
        <v>21466.71374164661</v>
      </c>
      <c r="F539" s="586">
        <v>21786.546219904205</v>
      </c>
      <c r="G539" s="586">
        <v>21872.874186022003</v>
      </c>
      <c r="H539" s="586">
        <v>22058.130368680013</v>
      </c>
      <c r="I539" s="586">
        <v>22084.720387654066</v>
      </c>
      <c r="J539" s="586">
        <v>22194.135950685319</v>
      </c>
      <c r="K539" s="586">
        <v>22304.066430182764</v>
      </c>
      <c r="L539" s="586">
        <v>22418.265661448575</v>
      </c>
      <c r="M539" s="586">
        <v>22536.833691330179</v>
      </c>
      <c r="N539" s="586">
        <v>22654.509285756103</v>
      </c>
      <c r="O539" s="587">
        <v>23557.345757029001</v>
      </c>
      <c r="P539" s="167">
        <v>23624.836384882114</v>
      </c>
      <c r="Q539" s="167">
        <v>23680.984924986689</v>
      </c>
      <c r="R539" s="167">
        <v>23742.227899858866</v>
      </c>
      <c r="S539" s="167">
        <v>23812.860090538205</v>
      </c>
      <c r="T539" s="167">
        <v>23860.60094744954</v>
      </c>
      <c r="U539" s="167">
        <v>23897.717237148692</v>
      </c>
      <c r="V539" s="167">
        <v>23940.551825093498</v>
      </c>
      <c r="W539" s="167">
        <v>24086.841907471877</v>
      </c>
      <c r="X539" s="167">
        <v>12071.77612630709</v>
      </c>
      <c r="Y539"/>
      <c r="Z539"/>
      <c r="AA539"/>
      <c r="AB539"/>
      <c r="AC539"/>
      <c r="AD539"/>
      <c r="AE539"/>
      <c r="AF539"/>
      <c r="AG539"/>
    </row>
    <row r="540" spans="1:33" ht="12.75">
      <c r="A540" s="168" t="s">
        <v>34</v>
      </c>
      <c r="B540" s="581">
        <f>NPV(0.1,D540:Y540)</f>
        <v>67206.484307948325</v>
      </c>
      <c r="C540" s="581">
        <f>B540-B530</f>
        <v>-10040.597997568882</v>
      </c>
      <c r="D540" s="585">
        <v>-2095.6537773199307</v>
      </c>
      <c r="E540" s="586">
        <v>3312.7306122558148</v>
      </c>
      <c r="F540" s="586">
        <v>3648.4879084741715</v>
      </c>
      <c r="G540" s="586">
        <v>3909.9447228947906</v>
      </c>
      <c r="H540" s="586">
        <v>6698.7227609144165</v>
      </c>
      <c r="I540" s="586">
        <v>8973.0368384033427</v>
      </c>
      <c r="J540" s="586">
        <v>9530.2547055949726</v>
      </c>
      <c r="K540" s="586">
        <v>9971.7154058459928</v>
      </c>
      <c r="L540" s="586">
        <v>10765.630313041933</v>
      </c>
      <c r="M540" s="586">
        <v>11369.461481700333</v>
      </c>
      <c r="N540" s="586">
        <v>12464.127227454555</v>
      </c>
      <c r="O540" s="587">
        <v>12287.413360807341</v>
      </c>
      <c r="P540" s="167">
        <v>13064.197550571505</v>
      </c>
      <c r="Q540" s="167">
        <v>13452.74024811195</v>
      </c>
      <c r="R540" s="167">
        <v>13833.523083484701</v>
      </c>
      <c r="S540" s="167">
        <v>14203.350074150077</v>
      </c>
      <c r="T540" s="167">
        <v>14581.866289015223</v>
      </c>
      <c r="U540" s="167">
        <v>15121.905862125983</v>
      </c>
      <c r="V540" s="167">
        <v>15716.015961700416</v>
      </c>
      <c r="W540" s="167">
        <v>16334.679269510199</v>
      </c>
      <c r="X540" s="167">
        <v>4665.8107894299637</v>
      </c>
      <c r="Y540"/>
      <c r="Z540"/>
      <c r="AA540"/>
      <c r="AB540"/>
      <c r="AC540"/>
      <c r="AD540"/>
      <c r="AE540"/>
      <c r="AF540"/>
      <c r="AG540"/>
    </row>
    <row r="541" spans="1:33" ht="12.75">
      <c r="A541" s="168" t="s">
        <v>31</v>
      </c>
      <c r="B541" s="581">
        <f>NPV(0.1,D541:Y541)</f>
        <v>68952.724159975478</v>
      </c>
      <c r="C541" s="581">
        <f>B541-B531</f>
        <v>-17132.365891274967</v>
      </c>
      <c r="D541" s="588">
        <v>-6099.8253784701974</v>
      </c>
      <c r="E541" s="589">
        <v>3090.0720904758546</v>
      </c>
      <c r="F541" s="589">
        <v>4391.0848559095739</v>
      </c>
      <c r="G541" s="589">
        <v>3068.0967011251487</v>
      </c>
      <c r="H541" s="589">
        <v>11054.83643880875</v>
      </c>
      <c r="I541" s="589">
        <v>14570.083242771929</v>
      </c>
      <c r="J541" s="589">
        <v>11091.131622346491</v>
      </c>
      <c r="K541" s="589">
        <v>10805.474470844623</v>
      </c>
      <c r="L541" s="589">
        <v>8101.0690419565599</v>
      </c>
      <c r="M541" s="589">
        <v>6326.2705466989646</v>
      </c>
      <c r="N541" s="589">
        <v>16141.982057887395</v>
      </c>
      <c r="O541" s="590">
        <v>16115.519908701939</v>
      </c>
      <c r="P541" s="167">
        <v>16044.529497704654</v>
      </c>
      <c r="Q541" s="167">
        <v>16422.290835883723</v>
      </c>
      <c r="R541" s="167">
        <v>16797.553335172481</v>
      </c>
      <c r="S541" s="167">
        <v>15504.915181057857</v>
      </c>
      <c r="T541" s="167">
        <v>10965.876360252263</v>
      </c>
      <c r="U541" s="167">
        <v>10180.262987917649</v>
      </c>
      <c r="V541" s="167">
        <v>8861.123087492082</v>
      </c>
      <c r="W541" s="167">
        <v>8302.0965679740893</v>
      </c>
      <c r="X541" s="167">
        <v>7476.9558310320463</v>
      </c>
      <c r="Y541"/>
      <c r="Z541"/>
      <c r="AA541"/>
      <c r="AB541"/>
      <c r="AC541"/>
      <c r="AD541"/>
      <c r="AE541"/>
      <c r="AF541"/>
      <c r="AG541"/>
    </row>
    <row r="542" spans="1:33" ht="12.75">
      <c r="A542" s="163"/>
      <c r="B542" s="163"/>
      <c r="C542" s="163"/>
      <c r="D542"/>
      <c r="E542"/>
      <c r="F542"/>
      <c r="G542"/>
      <c r="H542"/>
      <c r="I542"/>
      <c r="J542"/>
      <c r="K542"/>
      <c r="L542"/>
      <c r="M542"/>
      <c r="N542"/>
      <c r="O542"/>
      <c r="P542"/>
      <c r="Q542"/>
      <c r="R542"/>
      <c r="S542"/>
      <c r="T542"/>
      <c r="U542"/>
      <c r="V542"/>
      <c r="W542"/>
      <c r="X542"/>
      <c r="Y542"/>
      <c r="Z542"/>
      <c r="AA542"/>
      <c r="AB542"/>
      <c r="AC542"/>
      <c r="AD542"/>
      <c r="AE542"/>
      <c r="AF542"/>
      <c r="AG542"/>
    </row>
    <row r="543" spans="1:33" ht="12.75">
      <c r="A543" s="169" t="s">
        <v>688</v>
      </c>
      <c r="B543" s="163"/>
      <c r="C543" s="163"/>
      <c r="D543"/>
      <c r="E543"/>
      <c r="F543"/>
      <c r="G543"/>
      <c r="H543"/>
      <c r="I543"/>
      <c r="J543"/>
      <c r="K543"/>
      <c r="L543"/>
      <c r="M543"/>
      <c r="N543"/>
      <c r="O543"/>
      <c r="P543"/>
      <c r="Q543"/>
      <c r="R543"/>
      <c r="S543"/>
      <c r="T543"/>
      <c r="U543"/>
      <c r="V543"/>
      <c r="W543"/>
      <c r="X543"/>
      <c r="Y543"/>
      <c r="Z543"/>
      <c r="AA543"/>
      <c r="AB543"/>
      <c r="AC543"/>
      <c r="AD543"/>
      <c r="AE543"/>
      <c r="AF543"/>
      <c r="AG543"/>
    </row>
    <row r="544" spans="1:33" ht="12.75">
      <c r="A544" s="416">
        <v>36340</v>
      </c>
      <c r="B544" s="163"/>
      <c r="C544" s="163"/>
      <c r="D544"/>
      <c r="E544"/>
      <c r="F544"/>
      <c r="G544"/>
      <c r="H544"/>
      <c r="I544"/>
      <c r="J544"/>
      <c r="K544"/>
      <c r="L544"/>
      <c r="M544"/>
      <c r="N544"/>
      <c r="O544"/>
      <c r="P544"/>
      <c r="Q544"/>
      <c r="R544"/>
      <c r="S544"/>
      <c r="T544"/>
      <c r="U544"/>
      <c r="V544"/>
      <c r="W544"/>
      <c r="X544"/>
      <c r="Y544"/>
      <c r="Z544"/>
      <c r="AA544"/>
      <c r="AB544"/>
      <c r="AC544"/>
      <c r="AD544"/>
      <c r="AE544"/>
      <c r="AF544"/>
      <c r="AG544"/>
    </row>
    <row r="545" spans="1:33" ht="12.75">
      <c r="A545" s="164" t="s">
        <v>427</v>
      </c>
      <c r="B545" s="172">
        <v>28295.827805917892</v>
      </c>
      <c r="C545" s="163"/>
      <c r="D545"/>
      <c r="E545"/>
      <c r="F545"/>
      <c r="G545"/>
      <c r="H545"/>
      <c r="I545"/>
      <c r="J545"/>
      <c r="K545"/>
      <c r="L545"/>
      <c r="M545"/>
      <c r="N545"/>
      <c r="O545"/>
      <c r="P545"/>
      <c r="Q545"/>
      <c r="R545"/>
      <c r="S545"/>
      <c r="T545"/>
      <c r="U545"/>
      <c r="V545"/>
      <c r="W545"/>
      <c r="X545"/>
      <c r="Y545"/>
      <c r="Z545"/>
      <c r="AA545"/>
      <c r="AB545"/>
      <c r="AC545"/>
      <c r="AD545"/>
      <c r="AE545"/>
      <c r="AF545"/>
      <c r="AG545"/>
    </row>
    <row r="546" spans="1:33" ht="12.75">
      <c r="A546" s="165" t="s">
        <v>428</v>
      </c>
      <c r="B546" s="173">
        <v>52234.668923583304</v>
      </c>
      <c r="C546" s="163"/>
      <c r="D546"/>
      <c r="E546"/>
      <c r="F546"/>
      <c r="G546"/>
      <c r="H546"/>
      <c r="I546"/>
      <c r="J546"/>
      <c r="K546"/>
      <c r="L546"/>
      <c r="M546"/>
      <c r="N546"/>
      <c r="O546"/>
      <c r="P546"/>
      <c r="Q546"/>
      <c r="R546"/>
      <c r="S546"/>
      <c r="T546"/>
      <c r="U546"/>
      <c r="V546"/>
      <c r="W546"/>
      <c r="X546"/>
      <c r="Y546"/>
      <c r="Z546"/>
      <c r="AA546"/>
      <c r="AB546"/>
      <c r="AC546"/>
      <c r="AD546"/>
      <c r="AE546"/>
      <c r="AF546"/>
      <c r="AG546"/>
    </row>
    <row r="547" spans="1:33" ht="12.75">
      <c r="A547" s="166" t="s">
        <v>429</v>
      </c>
      <c r="B547" s="580" t="s">
        <v>499</v>
      </c>
      <c r="C547" s="580" t="s">
        <v>500</v>
      </c>
      <c r="D547" s="582">
        <v>1999</v>
      </c>
      <c r="E547" s="583">
        <v>2000</v>
      </c>
      <c r="F547" s="583">
        <v>2001</v>
      </c>
      <c r="G547" s="583">
        <v>2002</v>
      </c>
      <c r="H547" s="583">
        <v>2003</v>
      </c>
      <c r="I547" s="583">
        <v>2004</v>
      </c>
      <c r="J547" s="583">
        <v>2005</v>
      </c>
      <c r="K547" s="583">
        <v>2006</v>
      </c>
      <c r="L547" s="583">
        <v>2007</v>
      </c>
      <c r="M547" s="583">
        <v>2008</v>
      </c>
      <c r="N547" s="583">
        <v>2009</v>
      </c>
      <c r="O547" s="584">
        <v>2010</v>
      </c>
      <c r="P547" s="171">
        <v>2011</v>
      </c>
      <c r="Q547" s="171">
        <v>2012</v>
      </c>
      <c r="R547" s="171">
        <v>2013</v>
      </c>
      <c r="S547" s="171">
        <v>2014</v>
      </c>
      <c r="T547" s="171">
        <v>2015</v>
      </c>
      <c r="U547" s="171">
        <v>2016</v>
      </c>
      <c r="V547" s="171">
        <v>2017</v>
      </c>
      <c r="W547" s="171">
        <v>2018</v>
      </c>
      <c r="X547" s="171">
        <v>2019</v>
      </c>
      <c r="Y547"/>
      <c r="Z547"/>
      <c r="AA547"/>
      <c r="AB547"/>
      <c r="AC547"/>
      <c r="AD547"/>
      <c r="AE547"/>
      <c r="AF547"/>
      <c r="AG547"/>
    </row>
    <row r="548" spans="1:33" ht="12.75">
      <c r="A548" s="166" t="s">
        <v>430</v>
      </c>
      <c r="B548" s="581">
        <f>NPV(0.1,D548:Y548)</f>
        <v>394427.1533492399</v>
      </c>
      <c r="C548" s="581">
        <f>B548-B538</f>
        <v>4315.3768635857268</v>
      </c>
      <c r="D548" s="585">
        <v>27166.178482499996</v>
      </c>
      <c r="E548" s="586">
        <v>40347.877337477374</v>
      </c>
      <c r="F548" s="586">
        <v>40941.122864717196</v>
      </c>
      <c r="G548" s="586">
        <v>40999.602500183712</v>
      </c>
      <c r="H548" s="586">
        <v>45068.739154627998</v>
      </c>
      <c r="I548" s="586">
        <v>48202.989365170615</v>
      </c>
      <c r="J548" s="586">
        <v>48607.360157364936</v>
      </c>
      <c r="K548" s="586">
        <v>49007.668220829626</v>
      </c>
      <c r="L548" s="586">
        <v>49975.974461875514</v>
      </c>
      <c r="M548" s="586">
        <v>50383.481228292774</v>
      </c>
      <c r="N548" s="586">
        <v>51393.061859562556</v>
      </c>
      <c r="O548" s="587">
        <v>51807.159464403165</v>
      </c>
      <c r="P548" s="167">
        <v>52859.450442756264</v>
      </c>
      <c r="Q548" s="167">
        <v>53279.430284969814</v>
      </c>
      <c r="R548" s="167">
        <v>53692.093126485066</v>
      </c>
      <c r="S548" s="167">
        <v>54096.621965402126</v>
      </c>
      <c r="T548" s="167">
        <v>54492.157365007748</v>
      </c>
      <c r="U548" s="167">
        <v>54877.795642988218</v>
      </c>
      <c r="V548" s="167">
        <v>55252.586990186377</v>
      </c>
      <c r="W548" s="167">
        <v>55615.533516305099</v>
      </c>
      <c r="X548" s="167">
        <v>55965.58721986715</v>
      </c>
      <c r="Y548"/>
      <c r="Z548"/>
      <c r="AA548"/>
      <c r="AB548"/>
      <c r="AC548"/>
      <c r="AD548"/>
      <c r="AE548"/>
      <c r="AF548"/>
      <c r="AG548"/>
    </row>
    <row r="549" spans="1:33" ht="12.75">
      <c r="A549" s="168" t="s">
        <v>431</v>
      </c>
      <c r="B549" s="581">
        <f>NPV(0.1,D549:Y549)</f>
        <v>192096.69119764335</v>
      </c>
      <c r="C549" s="581">
        <f>B549-B539</f>
        <v>1650.7986406065756</v>
      </c>
      <c r="D549" s="585">
        <v>19477.642757532289</v>
      </c>
      <c r="E549" s="586">
        <v>21466.71374164661</v>
      </c>
      <c r="F549" s="586">
        <v>21786.546219904205</v>
      </c>
      <c r="G549" s="586">
        <v>21872.874186022003</v>
      </c>
      <c r="H549" s="586">
        <v>22058.130368680013</v>
      </c>
      <c r="I549" s="586">
        <v>22084.720387654066</v>
      </c>
      <c r="J549" s="586">
        <v>22194.135950685319</v>
      </c>
      <c r="K549" s="586">
        <v>22304.066430182764</v>
      </c>
      <c r="L549" s="586">
        <v>22418.265661448575</v>
      </c>
      <c r="M549" s="586">
        <v>22536.833691330179</v>
      </c>
      <c r="N549" s="586">
        <v>22654.509285756103</v>
      </c>
      <c r="O549" s="587">
        <v>23557.345757029001</v>
      </c>
      <c r="P549" s="167">
        <v>23624.836384882114</v>
      </c>
      <c r="Q549" s="167">
        <v>23680.984924986689</v>
      </c>
      <c r="R549" s="167">
        <v>23742.227899858866</v>
      </c>
      <c r="S549" s="167">
        <v>23812.860090538205</v>
      </c>
      <c r="T549" s="167">
        <v>23860.60094744954</v>
      </c>
      <c r="U549" s="167">
        <v>23897.717237148692</v>
      </c>
      <c r="V549" s="167">
        <v>23940.551825093498</v>
      </c>
      <c r="W549" s="167">
        <v>24086.841907471877</v>
      </c>
      <c r="X549" s="167">
        <v>24288.09867443734</v>
      </c>
      <c r="Y549"/>
      <c r="Z549"/>
      <c r="AA549"/>
      <c r="AB549"/>
      <c r="AC549"/>
      <c r="AD549"/>
      <c r="AE549"/>
      <c r="AF549"/>
      <c r="AG549"/>
    </row>
    <row r="550" spans="1:33" ht="12.75">
      <c r="A550" s="168" t="s">
        <v>34</v>
      </c>
      <c r="B550" s="581">
        <f>NPV(0.1,D550:Y550)</f>
        <v>68872.428573796598</v>
      </c>
      <c r="C550" s="581">
        <f>B550-B540</f>
        <v>1665.9442658482731</v>
      </c>
      <c r="D550" s="585">
        <v>-2095.6537773199307</v>
      </c>
      <c r="E550" s="586">
        <v>3312.7306122558148</v>
      </c>
      <c r="F550" s="586">
        <v>3648.4879084741715</v>
      </c>
      <c r="G550" s="586">
        <v>3909.9447228947906</v>
      </c>
      <c r="H550" s="586">
        <v>6698.7227609144165</v>
      </c>
      <c r="I550" s="586">
        <v>8973.0368384033427</v>
      </c>
      <c r="J550" s="586">
        <v>9530.2547055949726</v>
      </c>
      <c r="K550" s="586">
        <v>9971.7154058459928</v>
      </c>
      <c r="L550" s="586">
        <v>10765.630313041933</v>
      </c>
      <c r="M550" s="586">
        <v>11369.461481700333</v>
      </c>
      <c r="N550" s="586">
        <v>12464.127227454555</v>
      </c>
      <c r="O550" s="587">
        <v>12287.413360807341</v>
      </c>
      <c r="P550" s="167">
        <v>13064.197550571505</v>
      </c>
      <c r="Q550" s="167">
        <v>13452.74024811195</v>
      </c>
      <c r="R550" s="167">
        <v>13833.523083484701</v>
      </c>
      <c r="S550" s="167">
        <v>14203.350074150077</v>
      </c>
      <c r="T550" s="167">
        <v>14581.866289015223</v>
      </c>
      <c r="U550" s="167">
        <v>15121.905862125983</v>
      </c>
      <c r="V550" s="167">
        <v>15716.015961700416</v>
      </c>
      <c r="W550" s="167">
        <v>16334.679269510199</v>
      </c>
      <c r="X550" s="167">
        <v>16994.214749910861</v>
      </c>
      <c r="Y550"/>
      <c r="Z550"/>
      <c r="AA550"/>
      <c r="AB550"/>
      <c r="AC550"/>
      <c r="AD550"/>
      <c r="AE550"/>
      <c r="AF550"/>
      <c r="AG550"/>
    </row>
    <row r="551" spans="1:33" ht="12.75">
      <c r="A551" s="168" t="s">
        <v>31</v>
      </c>
      <c r="B551" s="581">
        <f>NPV(0.1,D551:Y551)</f>
        <v>70618.668425823751</v>
      </c>
      <c r="C551" s="581">
        <f>B551-B541</f>
        <v>1665.9442658482731</v>
      </c>
      <c r="D551" s="588">
        <v>-6099.8253784701974</v>
      </c>
      <c r="E551" s="589">
        <v>3090.0720904758546</v>
      </c>
      <c r="F551" s="589">
        <v>4391.0848559095739</v>
      </c>
      <c r="G551" s="589">
        <v>3068.0967011251487</v>
      </c>
      <c r="H551" s="589">
        <v>11054.83643880875</v>
      </c>
      <c r="I551" s="589">
        <v>14570.083242771929</v>
      </c>
      <c r="J551" s="589">
        <v>11091.131622346491</v>
      </c>
      <c r="K551" s="589">
        <v>10805.474470844623</v>
      </c>
      <c r="L551" s="589">
        <v>8101.0690419565599</v>
      </c>
      <c r="M551" s="589">
        <v>6326.2705466989646</v>
      </c>
      <c r="N551" s="589">
        <v>16141.982057887395</v>
      </c>
      <c r="O551" s="590">
        <v>16115.519908701939</v>
      </c>
      <c r="P551" s="167">
        <v>16044.529497704654</v>
      </c>
      <c r="Q551" s="167">
        <v>16422.290835883723</v>
      </c>
      <c r="R551" s="167">
        <v>16797.553335172481</v>
      </c>
      <c r="S551" s="167">
        <v>15504.915181057857</v>
      </c>
      <c r="T551" s="167">
        <v>10965.876360252263</v>
      </c>
      <c r="U551" s="167">
        <v>10180.262987917649</v>
      </c>
      <c r="V551" s="167">
        <v>8861.123087492082</v>
      </c>
      <c r="W551" s="167">
        <v>8302.0965679740893</v>
      </c>
      <c r="X551" s="167">
        <v>19805.359791512947</v>
      </c>
      <c r="Y551"/>
      <c r="Z551"/>
      <c r="AA551"/>
      <c r="AB551"/>
      <c r="AC551"/>
      <c r="AD551"/>
      <c r="AE551"/>
      <c r="AF551"/>
      <c r="AG551"/>
    </row>
    <row r="552" spans="1:33" ht="12.75">
      <c r="A552" s="163"/>
      <c r="B552" s="163"/>
      <c r="C552" s="163"/>
      <c r="D552"/>
      <c r="E552"/>
      <c r="F552"/>
      <c r="G552"/>
      <c r="H552"/>
      <c r="I552"/>
      <c r="J552"/>
      <c r="K552"/>
      <c r="L552"/>
      <c r="M552"/>
      <c r="N552"/>
      <c r="O552"/>
      <c r="P552"/>
      <c r="Q552"/>
      <c r="R552"/>
      <c r="S552"/>
      <c r="T552"/>
      <c r="U552"/>
      <c r="V552"/>
      <c r="W552"/>
      <c r="X552"/>
      <c r="Y552"/>
      <c r="Z552"/>
      <c r="AA552"/>
      <c r="AB552"/>
      <c r="AC552"/>
      <c r="AD552"/>
      <c r="AE552"/>
      <c r="AF552"/>
      <c r="AG552"/>
    </row>
    <row r="553" spans="1:33" ht="12.75">
      <c r="A553" s="169" t="s">
        <v>689</v>
      </c>
      <c r="B553" s="163"/>
      <c r="C553" s="163"/>
      <c r="D553"/>
      <c r="E553"/>
      <c r="F553"/>
      <c r="G553"/>
      <c r="H553"/>
      <c r="I553"/>
      <c r="J553"/>
      <c r="K553"/>
      <c r="L553"/>
      <c r="M553"/>
      <c r="N553"/>
      <c r="O553"/>
      <c r="P553"/>
      <c r="Q553"/>
      <c r="R553"/>
      <c r="S553"/>
      <c r="T553"/>
      <c r="U553"/>
      <c r="V553"/>
      <c r="W553"/>
      <c r="X553"/>
      <c r="Y553"/>
      <c r="Z553"/>
      <c r="AA553"/>
      <c r="AB553"/>
      <c r="AC553"/>
      <c r="AD553"/>
      <c r="AE553"/>
      <c r="AF553"/>
      <c r="AG553"/>
    </row>
    <row r="554" spans="1:33" ht="12.75">
      <c r="A554" s="416">
        <v>36343</v>
      </c>
      <c r="B554" s="163"/>
      <c r="C554" s="163"/>
      <c r="D554"/>
      <c r="E554"/>
      <c r="F554"/>
      <c r="G554"/>
      <c r="H554"/>
      <c r="I554"/>
      <c r="J554"/>
      <c r="K554"/>
      <c r="L554"/>
      <c r="M554"/>
      <c r="N554"/>
      <c r="O554"/>
      <c r="P554"/>
      <c r="Q554"/>
      <c r="R554"/>
      <c r="S554"/>
      <c r="T554"/>
      <c r="U554"/>
      <c r="V554"/>
      <c r="W554"/>
      <c r="X554"/>
      <c r="Y554"/>
      <c r="Z554"/>
      <c r="AA554"/>
      <c r="AB554"/>
      <c r="AC554"/>
      <c r="AD554"/>
      <c r="AE554"/>
      <c r="AF554"/>
      <c r="AG554"/>
    </row>
    <row r="555" spans="1:33" ht="12.75">
      <c r="A555" s="164" t="s">
        <v>427</v>
      </c>
      <c r="B555" s="172">
        <v>23915.529959197407</v>
      </c>
      <c r="C555" s="163"/>
      <c r="D555"/>
      <c r="E555"/>
      <c r="F555"/>
      <c r="G555"/>
      <c r="H555"/>
      <c r="I555"/>
      <c r="J555"/>
      <c r="K555"/>
      <c r="L555"/>
      <c r="M555"/>
      <c r="N555"/>
      <c r="O555"/>
      <c r="P555"/>
      <c r="Q555"/>
      <c r="R555"/>
      <c r="S555"/>
      <c r="T555"/>
      <c r="U555"/>
      <c r="V555"/>
      <c r="W555"/>
      <c r="X555"/>
      <c r="Y555"/>
      <c r="Z555"/>
      <c r="AA555"/>
      <c r="AB555"/>
      <c r="AC555"/>
      <c r="AD555"/>
      <c r="AE555"/>
      <c r="AF555"/>
      <c r="AG555"/>
    </row>
    <row r="556" spans="1:33" ht="12.75">
      <c r="A556" s="165" t="s">
        <v>428</v>
      </c>
      <c r="B556" s="173">
        <v>47054.790421141719</v>
      </c>
      <c r="C556" s="163"/>
      <c r="D556"/>
      <c r="E556"/>
      <c r="F556"/>
      <c r="G556"/>
      <c r="H556"/>
      <c r="I556"/>
      <c r="J556"/>
      <c r="K556"/>
      <c r="L556"/>
      <c r="M556"/>
      <c r="N556"/>
      <c r="O556"/>
      <c r="P556"/>
      <c r="Q556"/>
      <c r="R556"/>
      <c r="S556"/>
      <c r="T556"/>
      <c r="U556"/>
      <c r="V556"/>
      <c r="W556"/>
      <c r="X556"/>
      <c r="Y556"/>
      <c r="Z556"/>
      <c r="AA556"/>
      <c r="AB556"/>
      <c r="AC556"/>
      <c r="AD556"/>
      <c r="AE556"/>
      <c r="AF556"/>
      <c r="AG556"/>
    </row>
    <row r="557" spans="1:33" ht="12.75">
      <c r="A557" s="166" t="s">
        <v>429</v>
      </c>
      <c r="B557" s="580" t="s">
        <v>499</v>
      </c>
      <c r="C557" s="580" t="s">
        <v>500</v>
      </c>
      <c r="D557" s="582">
        <v>1999</v>
      </c>
      <c r="E557" s="583">
        <v>2000</v>
      </c>
      <c r="F557" s="583">
        <v>2001</v>
      </c>
      <c r="G557" s="583">
        <v>2002</v>
      </c>
      <c r="H557" s="583">
        <v>2003</v>
      </c>
      <c r="I557" s="583">
        <v>2004</v>
      </c>
      <c r="J557" s="583">
        <v>2005</v>
      </c>
      <c r="K557" s="583">
        <v>2006</v>
      </c>
      <c r="L557" s="583">
        <v>2007</v>
      </c>
      <c r="M557" s="583">
        <v>2008</v>
      </c>
      <c r="N557" s="583">
        <v>2009</v>
      </c>
      <c r="O557" s="584">
        <v>2010</v>
      </c>
      <c r="P557" s="171">
        <v>2011</v>
      </c>
      <c r="Q557" s="171">
        <v>2012</v>
      </c>
      <c r="R557" s="171">
        <v>2013</v>
      </c>
      <c r="S557" s="171">
        <v>2014</v>
      </c>
      <c r="T557" s="171">
        <v>2015</v>
      </c>
      <c r="U557" s="171">
        <v>2016</v>
      </c>
      <c r="V557" s="171">
        <v>2017</v>
      </c>
      <c r="W557" s="171">
        <v>2018</v>
      </c>
      <c r="X557" s="171">
        <v>2019</v>
      </c>
      <c r="Y557"/>
      <c r="Z557"/>
      <c r="AA557"/>
      <c r="AB557"/>
      <c r="AC557"/>
      <c r="AD557"/>
      <c r="AE557"/>
      <c r="AF557"/>
      <c r="AG557"/>
    </row>
    <row r="558" spans="1:33" ht="12.75">
      <c r="A558" s="166" t="s">
        <v>430</v>
      </c>
      <c r="B558" s="581">
        <f>NPV(0.1,D558:Y558)</f>
        <v>394427.1533492399</v>
      </c>
      <c r="C558" s="581">
        <f>B558-B548</f>
        <v>0</v>
      </c>
      <c r="D558" s="585">
        <v>27166.178482499996</v>
      </c>
      <c r="E558" s="586">
        <v>40347.877337477374</v>
      </c>
      <c r="F558" s="586">
        <v>40941.122864717196</v>
      </c>
      <c r="G558" s="586">
        <v>40999.602500183712</v>
      </c>
      <c r="H558" s="586">
        <v>45068.739154627998</v>
      </c>
      <c r="I558" s="586">
        <v>48202.989365170615</v>
      </c>
      <c r="J558" s="586">
        <v>48607.360157364936</v>
      </c>
      <c r="K558" s="586">
        <v>49007.668220829626</v>
      </c>
      <c r="L558" s="586">
        <v>49975.974461875514</v>
      </c>
      <c r="M558" s="586">
        <v>50383.481228292774</v>
      </c>
      <c r="N558" s="586">
        <v>51393.061859562556</v>
      </c>
      <c r="O558" s="587">
        <v>51807.159464403165</v>
      </c>
      <c r="P558" s="167">
        <v>52859.450442756264</v>
      </c>
      <c r="Q558" s="167">
        <v>53279.430284969814</v>
      </c>
      <c r="R558" s="167">
        <v>53692.093126485066</v>
      </c>
      <c r="S558" s="167">
        <v>54096.621965402126</v>
      </c>
      <c r="T558" s="167">
        <v>54492.157365007748</v>
      </c>
      <c r="U558" s="167">
        <v>54877.795642988218</v>
      </c>
      <c r="V558" s="167">
        <v>55252.586990186377</v>
      </c>
      <c r="W558" s="167">
        <v>55615.533516305099</v>
      </c>
      <c r="X558" s="167">
        <v>55965.58721986715</v>
      </c>
      <c r="Y558"/>
      <c r="Z558"/>
      <c r="AA558"/>
      <c r="AB558"/>
      <c r="AC558"/>
      <c r="AD558"/>
      <c r="AE558"/>
      <c r="AF558"/>
      <c r="AG558"/>
    </row>
    <row r="559" spans="1:33" ht="12.75">
      <c r="A559" s="168" t="s">
        <v>431</v>
      </c>
      <c r="B559" s="581">
        <f>NPV(0.1,D559:Y559)</f>
        <v>192194.66029503476</v>
      </c>
      <c r="C559" s="581">
        <f>B559-B549</f>
        <v>97.969097391411196</v>
      </c>
      <c r="D559" s="585">
        <v>19490.260069613585</v>
      </c>
      <c r="E559" s="586">
        <v>21481.414482572141</v>
      </c>
      <c r="F559" s="586">
        <v>21800.942329002683</v>
      </c>
      <c r="G559" s="586">
        <v>21886.965368062098</v>
      </c>
      <c r="H559" s="586">
        <v>22071.916328144274</v>
      </c>
      <c r="I559" s="586">
        <v>22098.223987985974</v>
      </c>
      <c r="J559" s="586">
        <v>22204.723420240643</v>
      </c>
      <c r="K559" s="586">
        <v>22314.086632452942</v>
      </c>
      <c r="L559" s="586">
        <v>22427.719101367464</v>
      </c>
      <c r="M559" s="586">
        <v>22545.719863963928</v>
      </c>
      <c r="N559" s="586">
        <v>22662.805054793746</v>
      </c>
      <c r="O559" s="587">
        <v>23568.454956789312</v>
      </c>
      <c r="P559" s="167">
        <v>23635.095127353416</v>
      </c>
      <c r="Q559" s="167">
        <v>23690.321781500701</v>
      </c>
      <c r="R559" s="167">
        <v>23750.643375349442</v>
      </c>
      <c r="S559" s="167">
        <v>23820.503140491455</v>
      </c>
      <c r="T559" s="167">
        <v>23867.478679882726</v>
      </c>
      <c r="U559" s="167">
        <v>23903.758728327386</v>
      </c>
      <c r="V559" s="167">
        <v>23945.757075017707</v>
      </c>
      <c r="W559" s="167">
        <v>24091.636458548164</v>
      </c>
      <c r="X559" s="167">
        <v>24292.665471581244</v>
      </c>
      <c r="Y559"/>
      <c r="Z559"/>
      <c r="AA559"/>
      <c r="AB559"/>
      <c r="AC559"/>
      <c r="AD559"/>
      <c r="AE559"/>
      <c r="AF559"/>
      <c r="AG559"/>
    </row>
    <row r="560" spans="1:33" ht="12.75">
      <c r="A560" s="168" t="s">
        <v>34</v>
      </c>
      <c r="B560" s="581">
        <f>NPV(0.1,D560:Y560)</f>
        <v>68030.147276136413</v>
      </c>
      <c r="C560" s="581">
        <f>B560-B550</f>
        <v>-842.28129766018537</v>
      </c>
      <c r="D560" s="585">
        <v>-2148.7569732827587</v>
      </c>
      <c r="E560" s="586">
        <v>3195.0243552902812</v>
      </c>
      <c r="F560" s="586">
        <v>3530.9721130387575</v>
      </c>
      <c r="G560" s="586">
        <v>3792.6195735736605</v>
      </c>
      <c r="H560" s="586">
        <v>6581.5884424706201</v>
      </c>
      <c r="I560" s="586">
        <v>8865.3337859749954</v>
      </c>
      <c r="J560" s="586">
        <v>9437.33149451393</v>
      </c>
      <c r="K560" s="586">
        <v>9879.1468609078875</v>
      </c>
      <c r="L560" s="586">
        <v>10673.416118552645</v>
      </c>
      <c r="M560" s="586">
        <v>11277.601953353977</v>
      </c>
      <c r="N560" s="586">
        <v>12372.636830506552</v>
      </c>
      <c r="O560" s="587">
        <v>12194.163954219701</v>
      </c>
      <c r="P560" s="167">
        <v>12971.479865827027</v>
      </c>
      <c r="Q560" s="167">
        <v>13360.59894375333</v>
      </c>
      <c r="R560" s="167">
        <v>13741.957843817827</v>
      </c>
      <c r="S560" s="167">
        <v>14112.267769412121</v>
      </c>
      <c r="T560" s="167">
        <v>14491.262475140511</v>
      </c>
      <c r="U560" s="167">
        <v>15031.824881963103</v>
      </c>
      <c r="V560" s="167">
        <v>15626.457815249363</v>
      </c>
      <c r="W560" s="167">
        <v>16245.37789967947</v>
      </c>
      <c r="X560" s="167">
        <v>16900.25792975488</v>
      </c>
      <c r="Y560"/>
      <c r="Z560"/>
      <c r="AA560"/>
      <c r="AB560"/>
      <c r="AC560"/>
      <c r="AD560"/>
      <c r="AE560"/>
      <c r="AF560"/>
      <c r="AG560"/>
    </row>
    <row r="561" spans="1:33" ht="12.75">
      <c r="A561" s="168" t="s">
        <v>31</v>
      </c>
      <c r="B561" s="581">
        <f>NPV(0.1,D561:Y561)</f>
        <v>71394.105309811173</v>
      </c>
      <c r="C561" s="581">
        <f>B561-B551</f>
        <v>775.43688398742233</v>
      </c>
      <c r="D561" s="588">
        <v>-6112.6004069525097</v>
      </c>
      <c r="E561" s="589">
        <v>3077.5339393977101</v>
      </c>
      <c r="F561" s="589">
        <v>4376.4613944552639</v>
      </c>
      <c r="G561" s="589">
        <v>3053.7819783174564</v>
      </c>
      <c r="H561" s="589">
        <v>11040.830753859089</v>
      </c>
      <c r="I561" s="589">
        <v>14556.363446443771</v>
      </c>
      <c r="J561" s="589">
        <v>12145.700325058464</v>
      </c>
      <c r="K561" s="589">
        <v>10911.372244703867</v>
      </c>
      <c r="L561" s="589">
        <v>8207.1191927241216</v>
      </c>
      <c r="M561" s="589">
        <v>6432.8773371499574</v>
      </c>
      <c r="N561" s="589">
        <v>16248.732305700187</v>
      </c>
      <c r="O561" s="590">
        <v>16224.1259918468</v>
      </c>
      <c r="P561" s="167">
        <v>16149.791752264426</v>
      </c>
      <c r="Q561" s="167">
        <v>16528.260342881709</v>
      </c>
      <c r="R561" s="167">
        <v>16903.896933321706</v>
      </c>
      <c r="S561" s="167">
        <v>15552.159519688499</v>
      </c>
      <c r="T561" s="167">
        <v>10953.874792322349</v>
      </c>
      <c r="U561" s="167">
        <v>10168.713152211421</v>
      </c>
      <c r="V561" s="167">
        <v>8850.096085497682</v>
      </c>
      <c r="W561" s="167">
        <v>8291.7529515289061</v>
      </c>
      <c r="X561" s="167">
        <v>19802.50454431113</v>
      </c>
      <c r="Y561"/>
      <c r="Z561"/>
      <c r="AA561"/>
      <c r="AB561"/>
      <c r="AC561"/>
      <c r="AD561"/>
      <c r="AE561"/>
      <c r="AF561"/>
      <c r="AG561"/>
    </row>
    <row r="562" spans="1:33" ht="12.75">
      <c r="A562" s="163"/>
      <c r="B562" s="163"/>
      <c r="C562" s="163"/>
      <c r="D562"/>
      <c r="E562"/>
      <c r="F562"/>
      <c r="G562"/>
      <c r="H562"/>
      <c r="I562"/>
      <c r="J562"/>
      <c r="K562"/>
      <c r="L562"/>
      <c r="M562"/>
      <c r="N562"/>
      <c r="O562"/>
      <c r="P562"/>
      <c r="Q562"/>
      <c r="R562"/>
      <c r="S562"/>
      <c r="T562"/>
      <c r="U562"/>
      <c r="V562"/>
      <c r="W562"/>
      <c r="X562"/>
      <c r="Y562"/>
      <c r="Z562"/>
      <c r="AA562"/>
      <c r="AB562"/>
      <c r="AC562"/>
      <c r="AD562"/>
      <c r="AE562"/>
      <c r="AF562"/>
      <c r="AG562"/>
    </row>
    <row r="563" spans="1:33" ht="12.75">
      <c r="A563" s="169" t="s">
        <v>690</v>
      </c>
      <c r="B563" s="163"/>
      <c r="C563" s="163"/>
      <c r="D563"/>
      <c r="E563"/>
      <c r="F563"/>
      <c r="G563"/>
      <c r="H563"/>
      <c r="I563"/>
      <c r="J563"/>
      <c r="K563"/>
      <c r="L563"/>
      <c r="M563"/>
      <c r="N563"/>
      <c r="O563"/>
      <c r="P563"/>
      <c r="Q563"/>
      <c r="R563"/>
      <c r="S563"/>
      <c r="T563"/>
      <c r="U563"/>
      <c r="V563"/>
      <c r="W563"/>
      <c r="X563"/>
      <c r="Y563"/>
      <c r="Z563"/>
      <c r="AA563"/>
      <c r="AB563"/>
      <c r="AC563"/>
      <c r="AD563"/>
      <c r="AE563"/>
      <c r="AF563"/>
      <c r="AG563"/>
    </row>
    <row r="564" spans="1:33" ht="12.75">
      <c r="A564" s="416">
        <v>36349</v>
      </c>
      <c r="B564" s="163"/>
      <c r="C564" s="163"/>
      <c r="D564"/>
      <c r="E564"/>
      <c r="F564"/>
      <c r="G564"/>
      <c r="H564"/>
      <c r="I564"/>
      <c r="J564"/>
      <c r="K564"/>
      <c r="L564"/>
      <c r="M564"/>
      <c r="N564"/>
      <c r="O564"/>
      <c r="P564"/>
      <c r="Q564"/>
      <c r="R564"/>
      <c r="S564"/>
      <c r="T564"/>
      <c r="U564"/>
      <c r="V564"/>
      <c r="W564"/>
      <c r="X564"/>
      <c r="Y564"/>
      <c r="Z564"/>
      <c r="AA564"/>
      <c r="AB564"/>
      <c r="AC564"/>
      <c r="AD564"/>
      <c r="AE564"/>
      <c r="AF564"/>
      <c r="AG564"/>
    </row>
    <row r="565" spans="1:33" ht="12.75">
      <c r="A565" s="164" t="s">
        <v>427</v>
      </c>
      <c r="B565" s="172">
        <v>25544.85745983696</v>
      </c>
      <c r="C565" s="163"/>
      <c r="D565"/>
      <c r="E565"/>
      <c r="F565"/>
      <c r="G565"/>
      <c r="H565"/>
      <c r="I565"/>
      <c r="J565"/>
      <c r="K565"/>
      <c r="L565"/>
      <c r="M565"/>
      <c r="N565"/>
      <c r="O565"/>
      <c r="P565"/>
      <c r="Q565"/>
      <c r="R565"/>
      <c r="S565"/>
      <c r="T565"/>
      <c r="U565"/>
      <c r="V565"/>
      <c r="W565"/>
      <c r="X565"/>
      <c r="Y565"/>
      <c r="Z565"/>
      <c r="AA565"/>
      <c r="AB565"/>
      <c r="AC565"/>
      <c r="AD565"/>
      <c r="AE565"/>
      <c r="AF565"/>
      <c r="AG565"/>
    </row>
    <row r="566" spans="1:33" ht="12.75">
      <c r="A566" s="165" t="s">
        <v>428</v>
      </c>
      <c r="B566" s="173">
        <v>49351.600441708048</v>
      </c>
      <c r="C566" s="163"/>
      <c r="D566"/>
      <c r="E566"/>
      <c r="F566"/>
      <c r="G566"/>
      <c r="H566"/>
      <c r="I566"/>
      <c r="J566"/>
      <c r="K566"/>
      <c r="L566"/>
      <c r="M566"/>
      <c r="N566"/>
      <c r="O566"/>
      <c r="P566"/>
      <c r="Q566"/>
      <c r="R566"/>
      <c r="S566"/>
      <c r="T566"/>
      <c r="U566"/>
      <c r="V566"/>
      <c r="W566"/>
      <c r="X566"/>
      <c r="Y566"/>
      <c r="Z566"/>
      <c r="AA566"/>
      <c r="AB566"/>
      <c r="AC566"/>
      <c r="AD566"/>
      <c r="AE566"/>
      <c r="AF566"/>
      <c r="AG566"/>
    </row>
    <row r="567" spans="1:33" ht="12.75">
      <c r="A567" s="166" t="s">
        <v>429</v>
      </c>
      <c r="B567" s="580" t="s">
        <v>499</v>
      </c>
      <c r="C567" s="580" t="s">
        <v>500</v>
      </c>
      <c r="D567" s="582">
        <v>1999</v>
      </c>
      <c r="E567" s="583">
        <v>2000</v>
      </c>
      <c r="F567" s="583">
        <v>2001</v>
      </c>
      <c r="G567" s="583">
        <v>2002</v>
      </c>
      <c r="H567" s="583">
        <v>2003</v>
      </c>
      <c r="I567" s="583">
        <v>2004</v>
      </c>
      <c r="J567" s="583">
        <v>2005</v>
      </c>
      <c r="K567" s="583">
        <v>2006</v>
      </c>
      <c r="L567" s="583">
        <v>2007</v>
      </c>
      <c r="M567" s="583">
        <v>2008</v>
      </c>
      <c r="N567" s="583">
        <v>2009</v>
      </c>
      <c r="O567" s="584">
        <v>2010</v>
      </c>
      <c r="P567" s="171">
        <v>2011</v>
      </c>
      <c r="Q567" s="171">
        <v>2012</v>
      </c>
      <c r="R567" s="171">
        <v>2013</v>
      </c>
      <c r="S567" s="171">
        <v>2014</v>
      </c>
      <c r="T567" s="171">
        <v>2015</v>
      </c>
      <c r="U567" s="171">
        <v>2016</v>
      </c>
      <c r="V567" s="171">
        <v>2017</v>
      </c>
      <c r="W567" s="171">
        <v>2018</v>
      </c>
      <c r="X567" s="171">
        <v>2019</v>
      </c>
      <c r="Y567"/>
      <c r="Z567"/>
      <c r="AA567"/>
      <c r="AB567"/>
      <c r="AC567"/>
      <c r="AD567"/>
      <c r="AE567"/>
      <c r="AF567"/>
      <c r="AG567"/>
    </row>
    <row r="568" spans="1:33" ht="12.75">
      <c r="A568" s="166" t="s">
        <v>430</v>
      </c>
      <c r="B568" s="581">
        <f>NPV(0.1,D568:Y568)</f>
        <v>394427.1533492399</v>
      </c>
      <c r="C568" s="581">
        <f>B568-B558</f>
        <v>0</v>
      </c>
      <c r="D568" s="585">
        <v>27166.178482499996</v>
      </c>
      <c r="E568" s="586">
        <v>40347.877337477374</v>
      </c>
      <c r="F568" s="586">
        <v>40941.122864717196</v>
      </c>
      <c r="G568" s="586">
        <v>40999.602500183712</v>
      </c>
      <c r="H568" s="586">
        <v>45068.739154627998</v>
      </c>
      <c r="I568" s="586">
        <v>48202.989365170615</v>
      </c>
      <c r="J568" s="586">
        <v>48607.360157364936</v>
      </c>
      <c r="K568" s="586">
        <v>49007.668220829626</v>
      </c>
      <c r="L568" s="586">
        <v>49975.974461875514</v>
      </c>
      <c r="M568" s="586">
        <v>50383.481228292774</v>
      </c>
      <c r="N568" s="586">
        <v>51393.061859562556</v>
      </c>
      <c r="O568" s="587">
        <v>51807.159464403165</v>
      </c>
      <c r="P568" s="167">
        <v>52859.450442756264</v>
      </c>
      <c r="Q568" s="167">
        <v>53279.430284969814</v>
      </c>
      <c r="R568" s="167">
        <v>53692.093126485066</v>
      </c>
      <c r="S568" s="167">
        <v>54096.621965402126</v>
      </c>
      <c r="T568" s="167">
        <v>54492.157365007748</v>
      </c>
      <c r="U568" s="167">
        <v>54877.795642988218</v>
      </c>
      <c r="V568" s="167">
        <v>55252.586990186377</v>
      </c>
      <c r="W568" s="167">
        <v>55615.533516305099</v>
      </c>
      <c r="X568" s="167">
        <v>55965.58721986715</v>
      </c>
      <c r="Y568"/>
      <c r="Z568"/>
      <c r="AA568"/>
      <c r="AB568"/>
      <c r="AC568"/>
      <c r="AD568"/>
      <c r="AE568"/>
      <c r="AF568"/>
      <c r="AG568"/>
    </row>
    <row r="569" spans="1:33" ht="12.75">
      <c r="A569" s="168" t="s">
        <v>431</v>
      </c>
      <c r="B569" s="581">
        <f>NPV(0.1,D569:Y569)</f>
        <v>189841.61405179912</v>
      </c>
      <c r="C569" s="581">
        <f>B569-B559</f>
        <v>-2353.0462432356435</v>
      </c>
      <c r="D569" s="585">
        <v>19100.861961029412</v>
      </c>
      <c r="E569" s="586">
        <v>21103.587647948236</v>
      </c>
      <c r="F569" s="586">
        <v>21441.460217582317</v>
      </c>
      <c r="G569" s="586">
        <v>21546.233162653592</v>
      </c>
      <c r="H569" s="586">
        <v>21754.25297851424</v>
      </c>
      <c r="I569" s="586">
        <v>21806.708962507113</v>
      </c>
      <c r="J569" s="586">
        <v>21933.494441838142</v>
      </c>
      <c r="K569" s="586">
        <v>22058.953342509933</v>
      </c>
      <c r="L569" s="586">
        <v>22188.667194109883</v>
      </c>
      <c r="M569" s="586">
        <v>22322.763645165836</v>
      </c>
      <c r="N569" s="586">
        <v>22455.916574683637</v>
      </c>
      <c r="O569" s="587">
        <v>23379.613256773271</v>
      </c>
      <c r="P569" s="167">
        <v>23462.171082053468</v>
      </c>
      <c r="Q569" s="167">
        <v>23533.288764698576</v>
      </c>
      <c r="R569" s="167">
        <v>23609.487081271076</v>
      </c>
      <c r="S569" s="167">
        <v>23690.91845078878</v>
      </c>
      <c r="T569" s="167">
        <v>23744.994270973006</v>
      </c>
      <c r="U569" s="167">
        <v>23788.249040093287</v>
      </c>
      <c r="V569" s="167">
        <v>23837.222107459227</v>
      </c>
      <c r="W569" s="167">
        <v>23990.32180361931</v>
      </c>
      <c r="X569" s="167">
        <v>24198.606433188779</v>
      </c>
      <c r="Y569"/>
      <c r="Z569"/>
      <c r="AA569"/>
      <c r="AB569"/>
      <c r="AC569"/>
      <c r="AD569"/>
      <c r="AE569"/>
      <c r="AF569"/>
      <c r="AG569"/>
    </row>
    <row r="570" spans="1:33" ht="12.75">
      <c r="A570" s="168" t="s">
        <v>34</v>
      </c>
      <c r="B570" s="581">
        <f>NPV(0.1,D570:Y570)</f>
        <v>69501.315907024327</v>
      </c>
      <c r="C570" s="581">
        <f>B570-B560</f>
        <v>1471.1686308879143</v>
      </c>
      <c r="D570" s="585">
        <v>-1905.2979745813977</v>
      </c>
      <c r="E570" s="586">
        <v>3431.248776550296</v>
      </c>
      <c r="F570" s="586">
        <v>3755.7270693883597</v>
      </c>
      <c r="G570" s="586">
        <v>4005.6517371239097</v>
      </c>
      <c r="H570" s="586">
        <v>6780.1975248471235</v>
      </c>
      <c r="I570" s="586">
        <v>9047.5944458111062</v>
      </c>
      <c r="J570" s="586">
        <v>9606.9089373545194</v>
      </c>
      <c r="K570" s="586">
        <v>10038.660977529442</v>
      </c>
      <c r="L570" s="586">
        <v>10822.875853193345</v>
      </c>
      <c r="M570" s="586">
        <v>11416.998361775648</v>
      </c>
      <c r="N570" s="586">
        <v>12501.987387430392</v>
      </c>
      <c r="O570" s="587">
        <v>12312.231325851604</v>
      </c>
      <c r="P570" s="167">
        <v>13079.595221274401</v>
      </c>
      <c r="Q570" s="167">
        <v>13458.778930227085</v>
      </c>
      <c r="R570" s="167">
        <v>13830.211405556136</v>
      </c>
      <c r="S570" s="167">
        <v>14193.286547127165</v>
      </c>
      <c r="T570" s="167">
        <v>14567.842024173537</v>
      </c>
      <c r="U570" s="167">
        <v>15104.043704853717</v>
      </c>
      <c r="V570" s="167">
        <v>15694.315911997566</v>
      </c>
      <c r="W570" s="167">
        <v>16308.721721590769</v>
      </c>
      <c r="X570" s="167">
        <v>16959.065404164819</v>
      </c>
      <c r="Y570"/>
      <c r="Z570"/>
      <c r="AA570"/>
      <c r="AB570"/>
      <c r="AC570"/>
      <c r="AD570"/>
      <c r="AE570"/>
      <c r="AF570"/>
      <c r="AG570"/>
    </row>
    <row r="571" spans="1:33" ht="12.75">
      <c r="A571" s="168" t="s">
        <v>31</v>
      </c>
      <c r="B571" s="581">
        <f>NPV(0.1,D571:Y571)</f>
        <v>73045.44653348501</v>
      </c>
      <c r="C571" s="581">
        <f>B571-B561</f>
        <v>1651.3412236738368</v>
      </c>
      <c r="D571" s="588">
        <v>-5718.3348220110347</v>
      </c>
      <c r="E571" s="589">
        <v>3460.083609454412</v>
      </c>
      <c r="F571" s="589">
        <v>4740.4370322683844</v>
      </c>
      <c r="G571" s="589">
        <v>3398.7733362935651</v>
      </c>
      <c r="H571" s="589">
        <v>11362.464895359502</v>
      </c>
      <c r="I571" s="589">
        <v>14851.522409741116</v>
      </c>
      <c r="J571" s="589">
        <v>11511.042694387725</v>
      </c>
      <c r="K571" s="589">
        <v>11070.886361325422</v>
      </c>
      <c r="L571" s="589">
        <v>8356.5789273648224</v>
      </c>
      <c r="M571" s="589">
        <v>6572.273745571626</v>
      </c>
      <c r="N571" s="589">
        <v>16378.082862624029</v>
      </c>
      <c r="O571" s="590">
        <v>16342.193363478706</v>
      </c>
      <c r="P571" s="167">
        <v>16257.907107711799</v>
      </c>
      <c r="Q571" s="167">
        <v>16626.440329355461</v>
      </c>
      <c r="R571" s="167">
        <v>16992.150495060014</v>
      </c>
      <c r="S571" s="167">
        <v>15633.178297403541</v>
      </c>
      <c r="T571" s="167">
        <v>11030.454341355377</v>
      </c>
      <c r="U571" s="167">
        <v>10240.931975102038</v>
      </c>
      <c r="V571" s="167">
        <v>8917.954182245885</v>
      </c>
      <c r="W571" s="167">
        <v>8355.0967734402057</v>
      </c>
      <c r="X571" s="167">
        <v>19861.312018721066</v>
      </c>
      <c r="Y571"/>
      <c r="Z571"/>
      <c r="AA571"/>
      <c r="AB571"/>
      <c r="AC571"/>
      <c r="AD571"/>
      <c r="AE571"/>
      <c r="AF571"/>
      <c r="AG571"/>
    </row>
    <row r="572" spans="1:33" ht="12.75">
      <c r="B572" s="163"/>
      <c r="C572" s="163"/>
      <c r="D572"/>
      <c r="E572"/>
      <c r="F572"/>
      <c r="G572"/>
      <c r="H572"/>
      <c r="I572"/>
      <c r="J572"/>
      <c r="K572"/>
      <c r="L572"/>
      <c r="M572"/>
      <c r="N572"/>
      <c r="O572"/>
      <c r="P572"/>
      <c r="Q572"/>
      <c r="R572"/>
      <c r="S572"/>
      <c r="T572"/>
      <c r="U572"/>
      <c r="V572"/>
      <c r="W572"/>
      <c r="X572"/>
      <c r="Y572"/>
      <c r="Z572"/>
      <c r="AA572"/>
      <c r="AB572"/>
      <c r="AC572"/>
      <c r="AD572"/>
      <c r="AE572"/>
      <c r="AF572"/>
      <c r="AG572"/>
    </row>
    <row r="573" spans="1:33" ht="12.75">
      <c r="A573" s="169" t="s">
        <v>691</v>
      </c>
      <c r="B573" s="163"/>
      <c r="C573" s="163"/>
      <c r="D573"/>
      <c r="E573"/>
      <c r="F573"/>
      <c r="G573"/>
      <c r="H573"/>
      <c r="I573"/>
      <c r="J573"/>
      <c r="K573"/>
      <c r="L573"/>
      <c r="M573"/>
      <c r="N573"/>
      <c r="O573"/>
      <c r="P573"/>
      <c r="Q573"/>
      <c r="R573"/>
      <c r="S573"/>
      <c r="T573"/>
      <c r="U573"/>
      <c r="V573"/>
      <c r="W573"/>
      <c r="X573"/>
      <c r="Y573"/>
      <c r="Z573"/>
      <c r="AA573"/>
      <c r="AB573"/>
      <c r="AC573"/>
      <c r="AD573"/>
      <c r="AE573"/>
      <c r="AF573"/>
      <c r="AG573"/>
    </row>
    <row r="574" spans="1:33" ht="12.75">
      <c r="A574" s="416">
        <v>36362</v>
      </c>
      <c r="B574" s="163"/>
      <c r="C574" s="163"/>
      <c r="D574"/>
      <c r="E574"/>
      <c r="F574"/>
      <c r="G574"/>
      <c r="H574"/>
      <c r="I574"/>
      <c r="J574"/>
      <c r="K574"/>
      <c r="L574"/>
      <c r="M574"/>
      <c r="N574"/>
      <c r="O574"/>
      <c r="P574"/>
      <c r="Q574"/>
      <c r="R574"/>
      <c r="S574"/>
      <c r="T574"/>
      <c r="U574"/>
      <c r="V574"/>
      <c r="W574"/>
      <c r="X574"/>
      <c r="Y574"/>
      <c r="Z574"/>
      <c r="AA574"/>
      <c r="AB574"/>
      <c r="AC574"/>
      <c r="AD574"/>
      <c r="AE574"/>
      <c r="AF574"/>
      <c r="AG574"/>
    </row>
    <row r="575" spans="1:33" ht="12.75">
      <c r="A575" s="164" t="s">
        <v>427</v>
      </c>
      <c r="B575" s="172">
        <v>26470.751519418547</v>
      </c>
      <c r="C575" s="163"/>
      <c r="D575"/>
      <c r="E575"/>
      <c r="F575"/>
      <c r="G575"/>
      <c r="H575"/>
      <c r="I575"/>
      <c r="J575"/>
      <c r="K575"/>
      <c r="L575"/>
      <c r="M575"/>
      <c r="N575"/>
      <c r="O575"/>
      <c r="P575"/>
      <c r="Q575"/>
      <c r="R575"/>
      <c r="S575"/>
      <c r="T575"/>
      <c r="U575"/>
      <c r="V575"/>
      <c r="W575"/>
      <c r="X575"/>
      <c r="Y575"/>
      <c r="Z575"/>
      <c r="AA575"/>
      <c r="AB575"/>
      <c r="AC575"/>
      <c r="AD575"/>
      <c r="AE575"/>
      <c r="AF575"/>
      <c r="AG575"/>
    </row>
    <row r="576" spans="1:33" ht="12.75">
      <c r="A576" s="165" t="s">
        <v>428</v>
      </c>
      <c r="B576" s="173">
        <v>50438.466441708057</v>
      </c>
      <c r="C576" s="163"/>
      <c r="D576"/>
      <c r="E576"/>
      <c r="F576"/>
      <c r="G576"/>
      <c r="H576"/>
      <c r="I576"/>
      <c r="J576"/>
      <c r="K576"/>
      <c r="L576"/>
      <c r="M576"/>
      <c r="N576"/>
      <c r="O576"/>
      <c r="P576"/>
      <c r="Q576"/>
      <c r="R576"/>
      <c r="S576"/>
      <c r="T576"/>
      <c r="U576"/>
      <c r="V576"/>
      <c r="W576"/>
      <c r="X576"/>
      <c r="Y576"/>
      <c r="Z576"/>
      <c r="AA576"/>
      <c r="AB576"/>
      <c r="AC576"/>
      <c r="AD576"/>
      <c r="AE576"/>
      <c r="AF576"/>
      <c r="AG576"/>
    </row>
    <row r="577" spans="1:33" ht="12.75">
      <c r="A577" s="166" t="s">
        <v>429</v>
      </c>
      <c r="B577" s="580" t="s">
        <v>499</v>
      </c>
      <c r="C577" s="580" t="s">
        <v>500</v>
      </c>
      <c r="D577" s="582">
        <v>1999</v>
      </c>
      <c r="E577" s="583">
        <v>2000</v>
      </c>
      <c r="F577" s="583">
        <v>2001</v>
      </c>
      <c r="G577" s="583">
        <v>2002</v>
      </c>
      <c r="H577" s="583">
        <v>2003</v>
      </c>
      <c r="I577" s="583">
        <v>2004</v>
      </c>
      <c r="J577" s="583">
        <v>2005</v>
      </c>
      <c r="K577" s="583">
        <v>2006</v>
      </c>
      <c r="L577" s="583">
        <v>2007</v>
      </c>
      <c r="M577" s="583">
        <v>2008</v>
      </c>
      <c r="N577" s="583">
        <v>2009</v>
      </c>
      <c r="O577" s="584">
        <v>2010</v>
      </c>
      <c r="P577" s="171">
        <v>2011</v>
      </c>
      <c r="Q577" s="171">
        <v>2012</v>
      </c>
      <c r="R577" s="171">
        <v>2013</v>
      </c>
      <c r="S577" s="171">
        <v>2014</v>
      </c>
      <c r="T577" s="171">
        <v>2015</v>
      </c>
      <c r="U577" s="171">
        <v>2016</v>
      </c>
      <c r="V577" s="171">
        <v>2017</v>
      </c>
      <c r="W577" s="171">
        <v>2018</v>
      </c>
      <c r="X577" s="171">
        <v>2019</v>
      </c>
      <c r="Y577"/>
      <c r="Z577"/>
      <c r="AA577"/>
      <c r="AB577"/>
      <c r="AC577"/>
      <c r="AD577"/>
      <c r="AE577"/>
      <c r="AF577"/>
      <c r="AG577"/>
    </row>
    <row r="578" spans="1:33" ht="12.75">
      <c r="A578" s="166" t="s">
        <v>430</v>
      </c>
      <c r="B578" s="581">
        <f>NPV(0.1,D578:Y578)</f>
        <v>394427.1533492399</v>
      </c>
      <c r="C578" s="581">
        <f>B578-B568</f>
        <v>0</v>
      </c>
      <c r="D578" s="585">
        <v>27166.178482499996</v>
      </c>
      <c r="E578" s="586">
        <v>40347.877337477374</v>
      </c>
      <c r="F578" s="586">
        <v>40941.122864717196</v>
      </c>
      <c r="G578" s="586">
        <v>40999.602500183712</v>
      </c>
      <c r="H578" s="586">
        <v>45068.739154627998</v>
      </c>
      <c r="I578" s="586">
        <v>48202.989365170615</v>
      </c>
      <c r="J578" s="586">
        <v>48607.360157364936</v>
      </c>
      <c r="K578" s="586">
        <v>49007.668220829626</v>
      </c>
      <c r="L578" s="586">
        <v>49975.974461875514</v>
      </c>
      <c r="M578" s="586">
        <v>50383.481228292774</v>
      </c>
      <c r="N578" s="586">
        <v>51393.061859562556</v>
      </c>
      <c r="O578" s="587">
        <v>51807.159464403165</v>
      </c>
      <c r="P578" s="167">
        <v>52859.450442756264</v>
      </c>
      <c r="Q578" s="167">
        <v>53279.430284969814</v>
      </c>
      <c r="R578" s="167">
        <v>53692.093126485066</v>
      </c>
      <c r="S578" s="167">
        <v>54096.621965402126</v>
      </c>
      <c r="T578" s="167">
        <v>54492.157365007748</v>
      </c>
      <c r="U578" s="167">
        <v>54877.795642988218</v>
      </c>
      <c r="V578" s="167">
        <v>55252.586990186377</v>
      </c>
      <c r="W578" s="167">
        <v>55615.533516305099</v>
      </c>
      <c r="X578" s="167">
        <v>55965.58721986715</v>
      </c>
      <c r="Y578"/>
      <c r="Z578"/>
      <c r="AA578"/>
      <c r="AB578"/>
      <c r="AC578"/>
      <c r="AD578"/>
      <c r="AE578"/>
      <c r="AF578"/>
      <c r="AG578"/>
    </row>
    <row r="579" spans="1:33" ht="12.75">
      <c r="A579" s="168" t="s">
        <v>431</v>
      </c>
      <c r="B579" s="581">
        <f>NPV(0.1,D579:Y579)</f>
        <v>189841.61405179912</v>
      </c>
      <c r="C579" s="581">
        <f>B579-B569</f>
        <v>0</v>
      </c>
      <c r="D579" s="585">
        <v>19100.861961029412</v>
      </c>
      <c r="E579" s="586">
        <v>21103.587647948236</v>
      </c>
      <c r="F579" s="586">
        <v>21441.460217582317</v>
      </c>
      <c r="G579" s="586">
        <v>21546.233162653592</v>
      </c>
      <c r="H579" s="586">
        <v>21754.25297851424</v>
      </c>
      <c r="I579" s="586">
        <v>21806.708962507113</v>
      </c>
      <c r="J579" s="586">
        <v>21933.494441838142</v>
      </c>
      <c r="K579" s="586">
        <v>22058.953342509933</v>
      </c>
      <c r="L579" s="586">
        <v>22188.667194109883</v>
      </c>
      <c r="M579" s="586">
        <v>22322.763645165836</v>
      </c>
      <c r="N579" s="586">
        <v>22455.916574683637</v>
      </c>
      <c r="O579" s="587">
        <v>23379.613256773271</v>
      </c>
      <c r="P579" s="167">
        <v>23462.171082053468</v>
      </c>
      <c r="Q579" s="167">
        <v>23533.288764698576</v>
      </c>
      <c r="R579" s="167">
        <v>23609.487081271076</v>
      </c>
      <c r="S579" s="167">
        <v>23690.91845078878</v>
      </c>
      <c r="T579" s="167">
        <v>23744.994270973006</v>
      </c>
      <c r="U579" s="167">
        <v>23788.249040093287</v>
      </c>
      <c r="V579" s="167">
        <v>23837.222107459227</v>
      </c>
      <c r="W579" s="167">
        <v>23990.32180361931</v>
      </c>
      <c r="X579" s="167">
        <v>24198.606433188779</v>
      </c>
      <c r="Y579"/>
      <c r="Z579"/>
      <c r="AA579"/>
      <c r="AB579"/>
      <c r="AC579"/>
      <c r="AD579"/>
      <c r="AE579"/>
      <c r="AF579"/>
      <c r="AG579"/>
    </row>
    <row r="580" spans="1:33" ht="12.75">
      <c r="A580" s="168" t="s">
        <v>34</v>
      </c>
      <c r="B580" s="581">
        <f>NPV(0.1,D580:Y580)</f>
        <v>69664.291270772403</v>
      </c>
      <c r="C580" s="581">
        <f>B580-B570</f>
        <v>162.97536374807532</v>
      </c>
      <c r="D580" s="585">
        <v>-1896.9806792584811</v>
      </c>
      <c r="E580" s="586">
        <v>3451.2102853252959</v>
      </c>
      <c r="F580" s="586">
        <v>3775.6885781633596</v>
      </c>
      <c r="G580" s="586">
        <v>4025.6132458989096</v>
      </c>
      <c r="H580" s="586">
        <v>6800.1590336221234</v>
      </c>
      <c r="I580" s="586">
        <v>9067.6406035444379</v>
      </c>
      <c r="J580" s="586">
        <v>9627.0736036295184</v>
      </c>
      <c r="K580" s="586">
        <v>10058.825643804441</v>
      </c>
      <c r="L580" s="586">
        <v>10843.040519468344</v>
      </c>
      <c r="M580" s="586">
        <v>11437.163028050643</v>
      </c>
      <c r="N580" s="586">
        <v>12522.152053705391</v>
      </c>
      <c r="O580" s="587">
        <v>12332.395992126603</v>
      </c>
      <c r="P580" s="167">
        <v>13099.7598875494</v>
      </c>
      <c r="Q580" s="167">
        <v>13478.943596502082</v>
      </c>
      <c r="R580" s="167">
        <v>13850.376071831135</v>
      </c>
      <c r="S580" s="167">
        <v>14213.451213402164</v>
      </c>
      <c r="T580" s="167">
        <v>14588.006690448536</v>
      </c>
      <c r="U580" s="167">
        <v>15124.208371128716</v>
      </c>
      <c r="V580" s="167">
        <v>15714.480578272565</v>
      </c>
      <c r="W580" s="167">
        <v>16328.886387865768</v>
      </c>
      <c r="X580" s="167">
        <v>16979.230070439815</v>
      </c>
      <c r="Y580"/>
      <c r="Z580"/>
      <c r="AA580"/>
      <c r="AB580"/>
      <c r="AC580"/>
      <c r="AD580"/>
      <c r="AE580"/>
      <c r="AF580"/>
      <c r="AG580"/>
    </row>
    <row r="581" spans="1:33" ht="12.75">
      <c r="A581" s="168" t="s">
        <v>31</v>
      </c>
      <c r="B581" s="581">
        <f>NPV(0.1,D581:Y581)</f>
        <v>72869.363983335817</v>
      </c>
      <c r="C581" s="581">
        <f>B581-B571</f>
        <v>-176.08255014919268</v>
      </c>
      <c r="D581" s="588">
        <v>-5718.3348220110347</v>
      </c>
      <c r="E581" s="589">
        <v>3460.083609454412</v>
      </c>
      <c r="F581" s="589">
        <v>4740.4370322683844</v>
      </c>
      <c r="G581" s="589">
        <v>3398.7733362935651</v>
      </c>
      <c r="H581" s="589">
        <v>11362.464895359502</v>
      </c>
      <c r="I581" s="589">
        <v>14851.522409741116</v>
      </c>
      <c r="J581" s="589">
        <v>11304.285253506976</v>
      </c>
      <c r="K581" s="589">
        <v>11046.27975378717</v>
      </c>
      <c r="L581" s="589">
        <v>8332.0139553723238</v>
      </c>
      <c r="M581" s="589">
        <v>6547.6671380333773</v>
      </c>
      <c r="N581" s="589">
        <v>16353.517890631529</v>
      </c>
      <c r="O581" s="590">
        <v>16317.586755940454</v>
      </c>
      <c r="P581" s="167">
        <v>16233.3421357193</v>
      </c>
      <c r="Q581" s="167">
        <v>16601.833721817213</v>
      </c>
      <c r="R581" s="167">
        <v>16967.585523067515</v>
      </c>
      <c r="S581" s="167">
        <v>15620.895811407294</v>
      </c>
      <c r="T581" s="167">
        <v>11030.454341355377</v>
      </c>
      <c r="U581" s="167">
        <v>10240.931975102038</v>
      </c>
      <c r="V581" s="167">
        <v>8917.954182245885</v>
      </c>
      <c r="W581" s="167">
        <v>8355.0967734402057</v>
      </c>
      <c r="X581" s="167">
        <v>19861.312018721066</v>
      </c>
      <c r="Y581"/>
      <c r="Z581"/>
      <c r="AA581"/>
      <c r="AB581"/>
      <c r="AC581"/>
      <c r="AD581"/>
      <c r="AE581"/>
      <c r="AF581"/>
      <c r="AG581"/>
    </row>
    <row r="582" spans="1:33" ht="12.75">
      <c r="A582" s="163"/>
      <c r="B582" s="163"/>
      <c r="C582" s="163"/>
      <c r="D582"/>
      <c r="E582"/>
      <c r="F582"/>
      <c r="G582"/>
      <c r="H582"/>
      <c r="I582"/>
      <c r="J582"/>
      <c r="K582"/>
      <c r="L582"/>
      <c r="M582"/>
      <c r="N582"/>
      <c r="O582"/>
      <c r="P582"/>
      <c r="Q582"/>
      <c r="R582"/>
      <c r="S582"/>
      <c r="T582"/>
      <c r="U582"/>
      <c r="V582"/>
      <c r="W582"/>
      <c r="X582"/>
      <c r="Y582"/>
      <c r="Z582"/>
      <c r="AA582"/>
      <c r="AB582"/>
      <c r="AC582"/>
      <c r="AD582"/>
      <c r="AE582"/>
      <c r="AF582"/>
      <c r="AG582"/>
    </row>
    <row r="583" spans="1:33" ht="12.75">
      <c r="A583" s="169" t="s">
        <v>693</v>
      </c>
      <c r="B583" s="163"/>
      <c r="C583" s="163"/>
      <c r="D583"/>
      <c r="E583"/>
      <c r="F583"/>
      <c r="G583"/>
      <c r="H583"/>
      <c r="I583"/>
      <c r="J583"/>
      <c r="K583"/>
      <c r="L583"/>
      <c r="M583"/>
      <c r="N583"/>
      <c r="O583"/>
      <c r="P583"/>
      <c r="Q583"/>
      <c r="R583"/>
      <c r="S583"/>
      <c r="T583"/>
      <c r="U583"/>
      <c r="V583"/>
      <c r="W583"/>
      <c r="X583"/>
      <c r="Y583"/>
      <c r="Z583"/>
      <c r="AA583"/>
      <c r="AB583"/>
      <c r="AC583"/>
      <c r="AD583"/>
      <c r="AE583"/>
      <c r="AF583"/>
      <c r="AG583"/>
    </row>
    <row r="584" spans="1:33" ht="12.75">
      <c r="A584" s="416">
        <v>36367</v>
      </c>
      <c r="B584" s="163"/>
      <c r="C584" s="163"/>
      <c r="D584"/>
      <c r="E584"/>
      <c r="F584"/>
      <c r="G584"/>
      <c r="H584"/>
      <c r="I584"/>
      <c r="J584"/>
      <c r="K584"/>
      <c r="L584"/>
      <c r="M584"/>
      <c r="N584"/>
      <c r="O584"/>
      <c r="P584"/>
      <c r="Q584"/>
      <c r="R584"/>
      <c r="S584"/>
      <c r="T584"/>
      <c r="U584"/>
      <c r="V584"/>
      <c r="W584"/>
      <c r="X584"/>
      <c r="Y584"/>
      <c r="Z584"/>
      <c r="AA584"/>
      <c r="AB584"/>
      <c r="AC584"/>
      <c r="AD584"/>
      <c r="AE584"/>
      <c r="AF584"/>
      <c r="AG584"/>
    </row>
    <row r="585" spans="1:33" ht="12.75">
      <c r="A585" s="164" t="s">
        <v>427</v>
      </c>
      <c r="B585" s="172">
        <v>36043.927072710394</v>
      </c>
      <c r="C585" s="163"/>
      <c r="D585"/>
      <c r="E585"/>
      <c r="F585"/>
      <c r="G585"/>
      <c r="H585"/>
      <c r="I585"/>
      <c r="J585"/>
      <c r="K585"/>
      <c r="L585"/>
      <c r="M585"/>
      <c r="N585"/>
      <c r="O585"/>
      <c r="P585"/>
      <c r="Q585"/>
      <c r="R585"/>
      <c r="S585"/>
      <c r="T585"/>
      <c r="U585"/>
      <c r="V585"/>
      <c r="W585"/>
      <c r="X585"/>
      <c r="Y585"/>
      <c r="Z585"/>
      <c r="AA585"/>
      <c r="AB585"/>
      <c r="AC585"/>
      <c r="AD585"/>
      <c r="AE585"/>
      <c r="AF585"/>
      <c r="AG585"/>
    </row>
    <row r="586" spans="1:33" ht="12.75">
      <c r="A586" s="165" t="s">
        <v>428</v>
      </c>
      <c r="B586" s="173">
        <v>65805.161556533887</v>
      </c>
      <c r="C586" s="163"/>
      <c r="D586"/>
      <c r="E586"/>
      <c r="F586"/>
      <c r="G586"/>
      <c r="H586"/>
      <c r="I586"/>
      <c r="J586"/>
      <c r="K586"/>
      <c r="L586"/>
      <c r="M586"/>
      <c r="N586"/>
      <c r="O586"/>
      <c r="P586"/>
      <c r="Q586"/>
      <c r="R586"/>
      <c r="S586"/>
      <c r="T586"/>
      <c r="U586"/>
      <c r="V586"/>
      <c r="W586"/>
      <c r="X586"/>
      <c r="Y586"/>
      <c r="Z586"/>
      <c r="AA586"/>
      <c r="AB586"/>
      <c r="AC586"/>
      <c r="AD586"/>
      <c r="AE586"/>
      <c r="AF586"/>
      <c r="AG586"/>
    </row>
    <row r="587" spans="1:33" ht="12.75">
      <c r="A587" s="166" t="s">
        <v>429</v>
      </c>
      <c r="B587" s="580" t="s">
        <v>499</v>
      </c>
      <c r="C587" s="580" t="s">
        <v>500</v>
      </c>
      <c r="D587" s="582">
        <v>1999</v>
      </c>
      <c r="E587" s="583">
        <v>2000</v>
      </c>
      <c r="F587" s="583">
        <v>2001</v>
      </c>
      <c r="G587" s="583">
        <v>2002</v>
      </c>
      <c r="H587" s="583">
        <v>2003</v>
      </c>
      <c r="I587" s="583">
        <v>2004</v>
      </c>
      <c r="J587" s="583">
        <v>2005</v>
      </c>
      <c r="K587" s="583">
        <v>2006</v>
      </c>
      <c r="L587" s="583">
        <v>2007</v>
      </c>
      <c r="M587" s="583">
        <v>2008</v>
      </c>
      <c r="N587" s="583">
        <v>2009</v>
      </c>
      <c r="O587" s="584">
        <v>2010</v>
      </c>
      <c r="P587" s="171">
        <v>2011</v>
      </c>
      <c r="Q587" s="171">
        <v>2012</v>
      </c>
      <c r="R587" s="171">
        <v>2013</v>
      </c>
      <c r="S587" s="171">
        <v>2014</v>
      </c>
      <c r="T587" s="171">
        <v>2015</v>
      </c>
      <c r="U587" s="171">
        <v>2016</v>
      </c>
      <c r="V587" s="171">
        <v>2017</v>
      </c>
      <c r="W587" s="171">
        <v>2018</v>
      </c>
      <c r="X587" s="171">
        <v>2019</v>
      </c>
      <c r="Y587"/>
      <c r="Z587"/>
      <c r="AA587"/>
      <c r="AB587"/>
      <c r="AC587"/>
      <c r="AD587"/>
      <c r="AE587"/>
      <c r="AF587"/>
      <c r="AG587"/>
    </row>
    <row r="588" spans="1:33" ht="12.75">
      <c r="A588" s="166" t="s">
        <v>430</v>
      </c>
      <c r="B588" s="581">
        <f>NPV(0.1,D588:Y588)</f>
        <v>418867.16558122361</v>
      </c>
      <c r="C588" s="581">
        <f>B588-B578</f>
        <v>24440.01223198371</v>
      </c>
      <c r="D588" s="585">
        <v>26898.216959999994</v>
      </c>
      <c r="E588" s="586">
        <v>40079.915814977372</v>
      </c>
      <c r="F588" s="586">
        <v>40673.161342217194</v>
      </c>
      <c r="G588" s="586">
        <v>40731.64097768371</v>
      </c>
      <c r="H588" s="586">
        <v>47605.84011425489</v>
      </c>
      <c r="I588" s="586">
        <v>52769.765885234337</v>
      </c>
      <c r="J588" s="586">
        <v>53213.775120657876</v>
      </c>
      <c r="K588" s="586">
        <v>53653.259503785877</v>
      </c>
      <c r="L588" s="586">
        <v>54718.611193040255</v>
      </c>
      <c r="M588" s="586">
        <v>55165.928277364612</v>
      </c>
      <c r="N588" s="586">
        <v>56276.660029826366</v>
      </c>
      <c r="O588" s="587">
        <v>56731.133874277803</v>
      </c>
      <c r="P588" s="167">
        <v>57888.82179464693</v>
      </c>
      <c r="Q588" s="167">
        <v>58349.665078533413</v>
      </c>
      <c r="R588" s="167">
        <v>58802.386402713681</v>
      </c>
      <c r="S588" s="167">
        <v>59246.083690649852</v>
      </c>
      <c r="T588" s="167">
        <v>59679.808050975516</v>
      </c>
      <c r="U588" s="167">
        <v>60102.561780474927</v>
      </c>
      <c r="V588" s="167">
        <v>60513.296289374215</v>
      </c>
      <c r="W588" s="167">
        <v>60910.909946080785</v>
      </c>
      <c r="X588" s="167">
        <v>61294.245838405084</v>
      </c>
      <c r="Y588"/>
      <c r="Z588"/>
      <c r="AA588"/>
      <c r="AB588"/>
      <c r="AC588"/>
      <c r="AD588"/>
      <c r="AE588"/>
      <c r="AF588"/>
      <c r="AG588"/>
    </row>
    <row r="589" spans="1:33" ht="12.75">
      <c r="A589" s="168" t="s">
        <v>431</v>
      </c>
      <c r="B589" s="581">
        <f>NPV(0.1,D589:Y589)</f>
        <v>196874.92647017664</v>
      </c>
      <c r="C589" s="581">
        <f>B589-B579</f>
        <v>7033.3124183775217</v>
      </c>
      <c r="D589" s="585">
        <v>18832.90043852941</v>
      </c>
      <c r="E589" s="586">
        <v>20835.626125448234</v>
      </c>
      <c r="F589" s="586">
        <v>21173.498695082319</v>
      </c>
      <c r="G589" s="586">
        <v>21278.271640153598</v>
      </c>
      <c r="H589" s="586">
        <v>22527.72203924213</v>
      </c>
      <c r="I589" s="586">
        <v>23312.417325175782</v>
      </c>
      <c r="J589" s="586">
        <v>23442.084646066669</v>
      </c>
      <c r="K589" s="586">
        <v>23570.511843545119</v>
      </c>
      <c r="L589" s="586">
        <v>23703.283040855928</v>
      </c>
      <c r="M589" s="586">
        <v>23840.528557994065</v>
      </c>
      <c r="N589" s="586">
        <v>23976.925025576507</v>
      </c>
      <c r="O589" s="587">
        <v>24903.962551872726</v>
      </c>
      <c r="P589" s="167">
        <v>24989.961446685709</v>
      </c>
      <c r="Q589" s="167">
        <v>25064.623430949581</v>
      </c>
      <c r="R589" s="167">
        <v>25144.472378189414</v>
      </c>
      <c r="S589" s="167">
        <v>25229.663897294464</v>
      </c>
      <c r="T589" s="167">
        <v>25287.612671553663</v>
      </c>
      <c r="U589" s="167">
        <v>25334.856583371165</v>
      </c>
      <c r="V589" s="167">
        <v>25387.938467715237</v>
      </c>
      <c r="W589" s="167">
        <v>25545.270245362808</v>
      </c>
      <c r="X589" s="167">
        <v>25757.913918864379</v>
      </c>
      <c r="Y589"/>
      <c r="Z589"/>
      <c r="AA589"/>
      <c r="AB589"/>
      <c r="AC589"/>
      <c r="AD589"/>
      <c r="AE589"/>
      <c r="AF589"/>
      <c r="AG589"/>
    </row>
    <row r="590" spans="1:33" ht="12.75">
      <c r="A590" s="168" t="s">
        <v>34</v>
      </c>
      <c r="B590" s="581">
        <f>NPV(0.1,D590:Y590)</f>
        <v>80547.286369860609</v>
      </c>
      <c r="C590" s="581">
        <f>B590-B580</f>
        <v>10882.995099088206</v>
      </c>
      <c r="D590" s="585">
        <v>-1896.9806792584811</v>
      </c>
      <c r="E590" s="586">
        <v>3451.2102853252959</v>
      </c>
      <c r="F590" s="586">
        <v>3775.6885781633573</v>
      </c>
      <c r="G590" s="586">
        <v>4025.613245898905</v>
      </c>
      <c r="H590" s="586">
        <v>7902.8147649118846</v>
      </c>
      <c r="I590" s="586">
        <v>10981.477810575776</v>
      </c>
      <c r="J590" s="586">
        <v>11563.891727210819</v>
      </c>
      <c r="K590" s="586">
        <v>12018.281702176153</v>
      </c>
      <c r="L590" s="586">
        <v>12861.259701798494</v>
      </c>
      <c r="M590" s="586">
        <v>13478.303512420205</v>
      </c>
      <c r="N590" s="586">
        <v>14624.506194813341</v>
      </c>
      <c r="O590" s="587">
        <v>14457.90535685495</v>
      </c>
      <c r="P590" s="167">
        <v>15289.01397542688</v>
      </c>
      <c r="Q590" s="167">
        <v>15691.5303104753</v>
      </c>
      <c r="R590" s="167">
        <v>16085.725657520534</v>
      </c>
      <c r="S590" s="167">
        <v>16470.938731801914</v>
      </c>
      <c r="T590" s="167">
        <v>16866.94921962791</v>
      </c>
      <c r="U590" s="167">
        <v>17423.862089701717</v>
      </c>
      <c r="V590" s="167">
        <v>18034.037726060353</v>
      </c>
      <c r="W590" s="167">
        <v>18667.472099008268</v>
      </c>
      <c r="X590" s="167">
        <v>19335.899074039095</v>
      </c>
      <c r="Y590"/>
      <c r="Z590"/>
      <c r="AA590"/>
      <c r="AB590"/>
      <c r="AC590"/>
      <c r="AD590"/>
      <c r="AE590"/>
      <c r="AF590"/>
      <c r="AG590"/>
    </row>
    <row r="591" spans="1:33" ht="12.75">
      <c r="A591" s="168" t="s">
        <v>31</v>
      </c>
      <c r="B591" s="581">
        <f>NPV(0.1,D591:Y591)</f>
        <v>83826.132352950328</v>
      </c>
      <c r="C591" s="581">
        <f>B591-B581</f>
        <v>10956.76836961451</v>
      </c>
      <c r="D591" s="588">
        <v>-5718.3348220110347</v>
      </c>
      <c r="E591" s="589">
        <v>3460.083609454412</v>
      </c>
      <c r="F591" s="589">
        <v>4740.4370322683808</v>
      </c>
      <c r="G591" s="589">
        <v>3398.7733362935578</v>
      </c>
      <c r="H591" s="589">
        <v>13148.142192994743</v>
      </c>
      <c r="I591" s="589">
        <v>16768.646665422617</v>
      </c>
      <c r="J591" s="589">
        <v>12554.794762092639</v>
      </c>
      <c r="K591" s="589">
        <v>13005.735812158884</v>
      </c>
      <c r="L591" s="589">
        <v>10350.233137702471</v>
      </c>
      <c r="M591" s="589">
        <v>8588.8076224029392</v>
      </c>
      <c r="N591" s="589">
        <v>18455.87203173948</v>
      </c>
      <c r="O591" s="590">
        <v>18443.096120668801</v>
      </c>
      <c r="P591" s="167">
        <v>18422.596223596778</v>
      </c>
      <c r="Q591" s="167">
        <v>18814.420435790427</v>
      </c>
      <c r="R591" s="167">
        <v>19202.935108756916</v>
      </c>
      <c r="S591" s="167">
        <v>17878.383329807046</v>
      </c>
      <c r="T591" s="167">
        <v>13309.396870534749</v>
      </c>
      <c r="U591" s="167">
        <v>12540.585693675028</v>
      </c>
      <c r="V591" s="167">
        <v>11237.511330033671</v>
      </c>
      <c r="W591" s="167">
        <v>10693.682484582701</v>
      </c>
      <c r="X591" s="167">
        <v>22217.981022320342</v>
      </c>
      <c r="Y591"/>
      <c r="Z591"/>
      <c r="AA591"/>
      <c r="AB591"/>
      <c r="AC591"/>
      <c r="AD591"/>
      <c r="AE591"/>
      <c r="AF591"/>
      <c r="AG591"/>
    </row>
    <row r="592" spans="1:33" ht="12.75">
      <c r="A592" s="163"/>
      <c r="B592" s="163"/>
      <c r="C592" s="163"/>
      <c r="D592"/>
      <c r="E592"/>
      <c r="F592"/>
      <c r="G592"/>
      <c r="H592"/>
      <c r="I592"/>
      <c r="J592"/>
      <c r="K592"/>
      <c r="L592"/>
      <c r="M592"/>
      <c r="N592"/>
      <c r="O592"/>
      <c r="P592"/>
      <c r="Q592"/>
      <c r="R592"/>
      <c r="S592"/>
      <c r="T592"/>
      <c r="U592"/>
      <c r="V592"/>
      <c r="W592"/>
      <c r="X592"/>
      <c r="Y592"/>
      <c r="Z592"/>
      <c r="AA592"/>
      <c r="AB592"/>
      <c r="AC592"/>
      <c r="AD592"/>
      <c r="AE592"/>
      <c r="AF592"/>
      <c r="AG592"/>
    </row>
    <row r="593" spans="1:33" ht="12.75">
      <c r="A593" s="169" t="s">
        <v>694</v>
      </c>
      <c r="B593" s="163"/>
      <c r="C593" s="163"/>
      <c r="D593"/>
      <c r="E593"/>
      <c r="F593"/>
      <c r="G593"/>
      <c r="H593"/>
      <c r="I593"/>
      <c r="J593"/>
      <c r="K593"/>
      <c r="L593"/>
      <c r="M593"/>
      <c r="N593"/>
      <c r="O593"/>
      <c r="P593"/>
      <c r="Q593"/>
      <c r="R593"/>
      <c r="S593"/>
      <c r="T593"/>
      <c r="U593"/>
      <c r="V593"/>
      <c r="W593"/>
      <c r="X593"/>
      <c r="Y593"/>
      <c r="Z593"/>
      <c r="AA593"/>
      <c r="AB593"/>
      <c r="AC593"/>
      <c r="AD593"/>
      <c r="AE593"/>
      <c r="AF593"/>
      <c r="AG593"/>
    </row>
    <row r="594" spans="1:33" ht="12.75">
      <c r="A594" s="416">
        <v>36385</v>
      </c>
      <c r="B594" s="163"/>
      <c r="C594" s="163"/>
      <c r="D594"/>
      <c r="E594"/>
      <c r="F594"/>
      <c r="G594"/>
      <c r="H594"/>
      <c r="I594"/>
      <c r="J594"/>
      <c r="K594"/>
      <c r="L594"/>
      <c r="M594"/>
      <c r="N594"/>
      <c r="O594"/>
      <c r="P594"/>
      <c r="Q594"/>
      <c r="R594"/>
      <c r="S594"/>
      <c r="T594"/>
      <c r="U594"/>
      <c r="V594"/>
      <c r="W594"/>
      <c r="X594"/>
      <c r="Y594"/>
      <c r="Z594"/>
      <c r="AA594"/>
      <c r="AB594"/>
      <c r="AC594"/>
      <c r="AD594"/>
      <c r="AE594"/>
      <c r="AF594"/>
      <c r="AG594"/>
    </row>
    <row r="595" spans="1:33" ht="12.75">
      <c r="A595" s="164" t="s">
        <v>427</v>
      </c>
      <c r="B595" s="172">
        <v>34919.174048531371</v>
      </c>
      <c r="C595" s="163"/>
      <c r="D595"/>
      <c r="E595"/>
      <c r="F595"/>
      <c r="G595"/>
      <c r="H595"/>
      <c r="I595"/>
      <c r="J595"/>
      <c r="K595"/>
      <c r="L595"/>
      <c r="M595"/>
      <c r="N595"/>
      <c r="O595"/>
      <c r="P595"/>
      <c r="Q595"/>
      <c r="R595"/>
      <c r="S595"/>
      <c r="T595"/>
      <c r="U595"/>
      <c r="V595"/>
      <c r="W595"/>
      <c r="X595"/>
      <c r="Y595"/>
      <c r="Z595"/>
      <c r="AA595"/>
      <c r="AB595"/>
      <c r="AC595"/>
      <c r="AD595"/>
      <c r="AE595"/>
      <c r="AF595"/>
      <c r="AG595"/>
    </row>
    <row r="596" spans="1:33" ht="12.75">
      <c r="A596" s="165" t="s">
        <v>428</v>
      </c>
      <c r="B596" s="173">
        <v>64439.221556533877</v>
      </c>
      <c r="C596" s="163"/>
      <c r="D596"/>
      <c r="E596"/>
      <c r="F596"/>
      <c r="G596"/>
      <c r="H596"/>
      <c r="I596"/>
      <c r="J596"/>
      <c r="K596"/>
      <c r="L596"/>
      <c r="M596"/>
      <c r="N596"/>
      <c r="O596"/>
      <c r="P596"/>
      <c r="Q596"/>
      <c r="R596"/>
      <c r="S596"/>
      <c r="T596"/>
      <c r="U596"/>
      <c r="V596"/>
      <c r="W596"/>
      <c r="X596"/>
      <c r="Y596"/>
      <c r="Z596"/>
      <c r="AA596"/>
      <c r="AB596"/>
      <c r="AC596"/>
      <c r="AD596"/>
      <c r="AE596"/>
      <c r="AF596"/>
      <c r="AG596"/>
    </row>
    <row r="597" spans="1:33" ht="12.75">
      <c r="A597" s="166" t="s">
        <v>429</v>
      </c>
      <c r="B597" s="580" t="s">
        <v>499</v>
      </c>
      <c r="C597" s="580" t="s">
        <v>500</v>
      </c>
      <c r="D597" s="582">
        <v>1999</v>
      </c>
      <c r="E597" s="583">
        <v>2000</v>
      </c>
      <c r="F597" s="583">
        <v>2001</v>
      </c>
      <c r="G597" s="583">
        <v>2002</v>
      </c>
      <c r="H597" s="583">
        <v>2003</v>
      </c>
      <c r="I597" s="583">
        <v>2004</v>
      </c>
      <c r="J597" s="583">
        <v>2005</v>
      </c>
      <c r="K597" s="583">
        <v>2006</v>
      </c>
      <c r="L597" s="583">
        <v>2007</v>
      </c>
      <c r="M597" s="583">
        <v>2008</v>
      </c>
      <c r="N597" s="583">
        <v>2009</v>
      </c>
      <c r="O597" s="584">
        <v>2010</v>
      </c>
      <c r="P597" s="171">
        <v>2011</v>
      </c>
      <c r="Q597" s="171">
        <v>2012</v>
      </c>
      <c r="R597" s="171">
        <v>2013</v>
      </c>
      <c r="S597" s="171">
        <v>2014</v>
      </c>
      <c r="T597" s="171">
        <v>2015</v>
      </c>
      <c r="U597" s="171">
        <v>2016</v>
      </c>
      <c r="V597" s="171">
        <v>2017</v>
      </c>
      <c r="W597" s="171">
        <v>2018</v>
      </c>
      <c r="X597" s="171">
        <v>2019</v>
      </c>
      <c r="Y597"/>
      <c r="Z597"/>
      <c r="AA597"/>
      <c r="AB597"/>
      <c r="AC597"/>
      <c r="AD597"/>
      <c r="AE597"/>
      <c r="AF597"/>
      <c r="AG597"/>
    </row>
    <row r="598" spans="1:33" ht="12.75">
      <c r="A598" s="166" t="s">
        <v>430</v>
      </c>
      <c r="B598" s="581">
        <f>NPV(0.1,D598:Y598)</f>
        <v>418867.16558122361</v>
      </c>
      <c r="C598" s="581">
        <f>B598-B588</f>
        <v>0</v>
      </c>
      <c r="D598" s="585">
        <v>26898.216959999994</v>
      </c>
      <c r="E598" s="586">
        <v>40079.915814977372</v>
      </c>
      <c r="F598" s="586">
        <v>40673.161342217194</v>
      </c>
      <c r="G598" s="586">
        <v>40731.64097768371</v>
      </c>
      <c r="H598" s="586">
        <v>47605.84011425489</v>
      </c>
      <c r="I598" s="586">
        <v>52769.765885234337</v>
      </c>
      <c r="J598" s="586">
        <v>53213.775120657876</v>
      </c>
      <c r="K598" s="586">
        <v>53653.259503785877</v>
      </c>
      <c r="L598" s="586">
        <v>54718.611193040255</v>
      </c>
      <c r="M598" s="586">
        <v>55165.928277364612</v>
      </c>
      <c r="N598" s="586">
        <v>56276.660029826366</v>
      </c>
      <c r="O598" s="587">
        <v>56731.133874277803</v>
      </c>
      <c r="P598" s="167">
        <v>57888.82179464693</v>
      </c>
      <c r="Q598" s="167">
        <v>58349.665078533413</v>
      </c>
      <c r="R598" s="167">
        <v>58802.386402713681</v>
      </c>
      <c r="S598" s="167">
        <v>59246.083690649852</v>
      </c>
      <c r="T598" s="167">
        <v>59679.808050975516</v>
      </c>
      <c r="U598" s="167">
        <v>60102.561780474927</v>
      </c>
      <c r="V598" s="167">
        <v>60513.296289374215</v>
      </c>
      <c r="W598" s="167">
        <v>60910.909946080785</v>
      </c>
      <c r="X598" s="167">
        <v>61294.245838405084</v>
      </c>
      <c r="Y598"/>
      <c r="Z598"/>
      <c r="AA598"/>
      <c r="AB598"/>
      <c r="AC598"/>
      <c r="AD598"/>
      <c r="AE598"/>
      <c r="AF598"/>
      <c r="AG598"/>
    </row>
    <row r="599" spans="1:33" ht="12.75">
      <c r="A599" s="168" t="s">
        <v>431</v>
      </c>
      <c r="B599" s="581">
        <f>NPV(0.1,D599:Y599)</f>
        <v>196874.92647017664</v>
      </c>
      <c r="C599" s="581">
        <f>B599-B589</f>
        <v>0</v>
      </c>
      <c r="D599" s="585">
        <v>18832.90043852941</v>
      </c>
      <c r="E599" s="586">
        <v>20835.626125448234</v>
      </c>
      <c r="F599" s="586">
        <v>21173.498695082319</v>
      </c>
      <c r="G599" s="586">
        <v>21278.271640153598</v>
      </c>
      <c r="H599" s="586">
        <v>22527.72203924213</v>
      </c>
      <c r="I599" s="586">
        <v>23312.417325175782</v>
      </c>
      <c r="J599" s="586">
        <v>23442.084646066669</v>
      </c>
      <c r="K599" s="586">
        <v>23570.511843545119</v>
      </c>
      <c r="L599" s="586">
        <v>23703.283040855928</v>
      </c>
      <c r="M599" s="586">
        <v>23840.528557994065</v>
      </c>
      <c r="N599" s="586">
        <v>23976.925025576507</v>
      </c>
      <c r="O599" s="587">
        <v>24903.962551872726</v>
      </c>
      <c r="P599" s="167">
        <v>24989.961446685709</v>
      </c>
      <c r="Q599" s="167">
        <v>25064.623430949581</v>
      </c>
      <c r="R599" s="167">
        <v>25144.472378189414</v>
      </c>
      <c r="S599" s="167">
        <v>25229.663897294464</v>
      </c>
      <c r="T599" s="167">
        <v>25287.612671553663</v>
      </c>
      <c r="U599" s="167">
        <v>25334.856583371165</v>
      </c>
      <c r="V599" s="167">
        <v>25387.938467715237</v>
      </c>
      <c r="W599" s="167">
        <v>25545.270245362808</v>
      </c>
      <c r="X599" s="167">
        <v>25757.913918864379</v>
      </c>
      <c r="Y599"/>
      <c r="Z599"/>
      <c r="AA599"/>
      <c r="AB599"/>
      <c r="AC599"/>
      <c r="AD599"/>
      <c r="AE599"/>
      <c r="AF599"/>
      <c r="AG599"/>
    </row>
    <row r="600" spans="1:33" ht="12.75">
      <c r="A600" s="168" t="s">
        <v>34</v>
      </c>
      <c r="B600" s="581">
        <f>NPV(0.1,D600:Y600)</f>
        <v>80262.965497713973</v>
      </c>
      <c r="C600" s="581">
        <f>B600-B590</f>
        <v>-284.32087214663625</v>
      </c>
      <c r="D600" s="585">
        <v>-1917.9367896230642</v>
      </c>
      <c r="E600" s="586">
        <v>3400.9156204502956</v>
      </c>
      <c r="F600" s="586">
        <v>3725.393913288357</v>
      </c>
      <c r="G600" s="586">
        <v>3975.3185810239047</v>
      </c>
      <c r="H600" s="586">
        <v>7852.5201000368843</v>
      </c>
      <c r="I600" s="586">
        <v>10942.591200909112</v>
      </c>
      <c r="J600" s="586">
        <v>11540.976394835825</v>
      </c>
      <c r="K600" s="586">
        <v>11995.366369801155</v>
      </c>
      <c r="L600" s="586">
        <v>12838.344369423497</v>
      </c>
      <c r="M600" s="586">
        <v>13455.388180045207</v>
      </c>
      <c r="N600" s="586">
        <v>14601.590862438341</v>
      </c>
      <c r="O600" s="587">
        <v>14434.99002447995</v>
      </c>
      <c r="P600" s="167">
        <v>15266.098643051881</v>
      </c>
      <c r="Q600" s="167">
        <v>15668.614978100301</v>
      </c>
      <c r="R600" s="167">
        <v>16062.810325145532</v>
      </c>
      <c r="S600" s="167">
        <v>16448.023399426915</v>
      </c>
      <c r="T600" s="167">
        <v>16844.03388725291</v>
      </c>
      <c r="U600" s="167">
        <v>17400.946757326717</v>
      </c>
      <c r="V600" s="167">
        <v>18011.122393685353</v>
      </c>
      <c r="W600" s="167">
        <v>18644.556766633268</v>
      </c>
      <c r="X600" s="167">
        <v>19312.983741664095</v>
      </c>
      <c r="Y600"/>
      <c r="Z600"/>
      <c r="AA600"/>
      <c r="AB600"/>
      <c r="AC600"/>
      <c r="AD600"/>
      <c r="AE600"/>
      <c r="AF600"/>
      <c r="AG600"/>
    </row>
    <row r="601" spans="1:33" ht="12.75">
      <c r="A601" s="168" t="s">
        <v>31</v>
      </c>
      <c r="B601" s="581">
        <f>NPV(0.1,D601:Y601)</f>
        <v>84085.129134439892</v>
      </c>
      <c r="C601" s="581">
        <f>B601-B591</f>
        <v>258.99678148956446</v>
      </c>
      <c r="D601" s="588">
        <v>-5718.3348220110347</v>
      </c>
      <c r="E601" s="589">
        <v>3460.083609454412</v>
      </c>
      <c r="F601" s="589">
        <v>4740.4370322683808</v>
      </c>
      <c r="G601" s="589">
        <v>3398.7733362935578</v>
      </c>
      <c r="H601" s="589">
        <v>13148.142192994743</v>
      </c>
      <c r="I601" s="589">
        <v>17061.205425893866</v>
      </c>
      <c r="J601" s="589">
        <v>12582.710646755142</v>
      </c>
      <c r="K601" s="589">
        <v>13033.699011880135</v>
      </c>
      <c r="L601" s="589">
        <v>10378.149022364976</v>
      </c>
      <c r="M601" s="589">
        <v>8616.7708221241883</v>
      </c>
      <c r="N601" s="589">
        <v>18483.787916401976</v>
      </c>
      <c r="O601" s="590">
        <v>18471.059320390043</v>
      </c>
      <c r="P601" s="167">
        <v>18450.512108259278</v>
      </c>
      <c r="Q601" s="167">
        <v>18842.383635511673</v>
      </c>
      <c r="R601" s="167">
        <v>19230.850993419415</v>
      </c>
      <c r="S601" s="167">
        <v>17892.341272138292</v>
      </c>
      <c r="T601" s="167">
        <v>13309.396870534749</v>
      </c>
      <c r="U601" s="167">
        <v>12540.585693675028</v>
      </c>
      <c r="V601" s="167">
        <v>11237.511330033671</v>
      </c>
      <c r="W601" s="167">
        <v>10693.682484582701</v>
      </c>
      <c r="X601" s="167">
        <v>22217.981022320342</v>
      </c>
      <c r="Y601"/>
      <c r="Z601"/>
      <c r="AA601"/>
      <c r="AB601"/>
      <c r="AC601"/>
      <c r="AD601"/>
      <c r="AE601"/>
      <c r="AF601"/>
      <c r="AG601"/>
    </row>
    <row r="602" spans="1:33" ht="12.75">
      <c r="A602" s="163"/>
      <c r="B602" s="163"/>
      <c r="C602" s="163"/>
      <c r="D602"/>
      <c r="E602"/>
      <c r="F602"/>
      <c r="G602"/>
      <c r="H602"/>
      <c r="I602"/>
      <c r="J602"/>
      <c r="K602"/>
      <c r="L602"/>
      <c r="M602"/>
      <c r="N602"/>
      <c r="O602"/>
      <c r="P602"/>
      <c r="Q602"/>
      <c r="R602"/>
      <c r="S602"/>
      <c r="T602"/>
      <c r="U602"/>
      <c r="V602"/>
      <c r="W602"/>
      <c r="X602"/>
      <c r="Y602"/>
      <c r="Z602"/>
      <c r="AA602"/>
      <c r="AB602"/>
      <c r="AC602"/>
      <c r="AD602"/>
      <c r="AE602"/>
      <c r="AF602"/>
      <c r="AG602"/>
    </row>
    <row r="603" spans="1:33" ht="12.75">
      <c r="A603" s="163"/>
      <c r="B603" s="163"/>
      <c r="C603" s="163"/>
      <c r="D603"/>
      <c r="E603"/>
      <c r="F603"/>
      <c r="G603"/>
      <c r="H603"/>
      <c r="I603"/>
      <c r="J603"/>
      <c r="K603"/>
      <c r="L603"/>
      <c r="M603"/>
      <c r="N603"/>
      <c r="O603"/>
      <c r="P603"/>
      <c r="Q603"/>
      <c r="R603"/>
      <c r="S603"/>
      <c r="T603"/>
      <c r="U603"/>
      <c r="V603"/>
      <c r="W603"/>
      <c r="X603"/>
      <c r="Y603"/>
      <c r="Z603"/>
      <c r="AA603"/>
      <c r="AB603"/>
      <c r="AC603"/>
      <c r="AD603"/>
      <c r="AE603"/>
      <c r="AF603"/>
      <c r="AG603"/>
    </row>
    <row r="604" spans="1:33" ht="12.75">
      <c r="A604" s="169" t="s">
        <v>698</v>
      </c>
      <c r="B604" s="163"/>
      <c r="C604" s="163"/>
      <c r="D604"/>
      <c r="E604"/>
      <c r="F604"/>
      <c r="G604"/>
      <c r="H604"/>
      <c r="I604"/>
      <c r="J604"/>
      <c r="K604"/>
      <c r="L604"/>
      <c r="M604"/>
      <c r="N604"/>
      <c r="O604"/>
      <c r="P604"/>
      <c r="Q604"/>
      <c r="R604"/>
      <c r="S604"/>
      <c r="T604"/>
      <c r="U604"/>
      <c r="V604"/>
      <c r="W604"/>
      <c r="X604"/>
      <c r="Y604"/>
      <c r="Z604"/>
      <c r="AA604"/>
      <c r="AB604"/>
      <c r="AC604"/>
      <c r="AD604"/>
      <c r="AE604"/>
      <c r="AF604"/>
      <c r="AG604"/>
    </row>
    <row r="605" spans="1:33" ht="12.75">
      <c r="A605" s="416">
        <v>36390</v>
      </c>
      <c r="B605" s="163"/>
      <c r="C605" s="163"/>
      <c r="D605"/>
      <c r="E605"/>
      <c r="F605"/>
      <c r="G605"/>
      <c r="H605"/>
      <c r="I605"/>
      <c r="J605"/>
      <c r="K605"/>
      <c r="L605"/>
      <c r="M605"/>
      <c r="N605"/>
      <c r="O605"/>
      <c r="P605"/>
      <c r="Q605"/>
      <c r="R605"/>
      <c r="S605"/>
      <c r="T605"/>
      <c r="U605"/>
      <c r="V605"/>
      <c r="W605"/>
      <c r="X605"/>
      <c r="Y605"/>
      <c r="Z605"/>
      <c r="AA605"/>
      <c r="AB605"/>
      <c r="AC605"/>
      <c r="AD605"/>
      <c r="AE605"/>
      <c r="AF605"/>
      <c r="AG605"/>
    </row>
    <row r="606" spans="1:33" ht="12.75">
      <c r="A606" s="164" t="s">
        <v>427</v>
      </c>
      <c r="B606" s="172">
        <v>35116.829603604878</v>
      </c>
      <c r="C606" s="163"/>
      <c r="D606"/>
      <c r="E606"/>
      <c r="F606"/>
      <c r="G606"/>
      <c r="H606"/>
      <c r="I606"/>
      <c r="J606"/>
      <c r="K606"/>
      <c r="L606"/>
      <c r="M606"/>
      <c r="N606"/>
      <c r="O606"/>
      <c r="P606"/>
      <c r="Q606"/>
      <c r="R606"/>
      <c r="S606"/>
      <c r="T606"/>
      <c r="U606"/>
      <c r="V606"/>
      <c r="W606"/>
      <c r="X606"/>
      <c r="Y606"/>
      <c r="Z606"/>
      <c r="AA606"/>
      <c r="AB606"/>
      <c r="AC606"/>
      <c r="AD606"/>
      <c r="AE606"/>
      <c r="AF606"/>
      <c r="AG606"/>
    </row>
    <row r="607" spans="1:33" ht="12.75">
      <c r="A607" s="165" t="s">
        <v>428</v>
      </c>
      <c r="B607" s="173">
        <v>64677.006315061386</v>
      </c>
      <c r="C607" s="163"/>
      <c r="D607"/>
      <c r="E607"/>
      <c r="F607"/>
      <c r="G607"/>
      <c r="H607"/>
      <c r="I607"/>
      <c r="J607"/>
      <c r="K607"/>
      <c r="L607"/>
      <c r="M607"/>
      <c r="N607"/>
      <c r="O607"/>
      <c r="P607"/>
      <c r="Q607"/>
      <c r="R607"/>
      <c r="S607"/>
      <c r="T607"/>
      <c r="U607"/>
      <c r="V607"/>
      <c r="W607"/>
      <c r="X607"/>
      <c r="Y607"/>
      <c r="Z607"/>
      <c r="AA607"/>
      <c r="AB607"/>
      <c r="AC607"/>
      <c r="AD607"/>
      <c r="AE607"/>
      <c r="AF607"/>
      <c r="AG607"/>
    </row>
    <row r="608" spans="1:33" ht="12.75">
      <c r="A608" s="166" t="s">
        <v>429</v>
      </c>
      <c r="B608" s="580" t="s">
        <v>499</v>
      </c>
      <c r="C608" s="580" t="s">
        <v>500</v>
      </c>
      <c r="D608" s="582">
        <v>1999</v>
      </c>
      <c r="E608" s="583">
        <v>2000</v>
      </c>
      <c r="F608" s="583">
        <v>2001</v>
      </c>
      <c r="G608" s="583">
        <v>2002</v>
      </c>
      <c r="H608" s="583">
        <v>2003</v>
      </c>
      <c r="I608" s="583">
        <v>2004</v>
      </c>
      <c r="J608" s="583">
        <v>2005</v>
      </c>
      <c r="K608" s="583">
        <v>2006</v>
      </c>
      <c r="L608" s="583">
        <v>2007</v>
      </c>
      <c r="M608" s="583">
        <v>2008</v>
      </c>
      <c r="N608" s="583">
        <v>2009</v>
      </c>
      <c r="O608" s="584">
        <v>2010</v>
      </c>
      <c r="P608" s="171">
        <v>2011</v>
      </c>
      <c r="Q608" s="171">
        <v>2012</v>
      </c>
      <c r="R608" s="171">
        <v>2013</v>
      </c>
      <c r="S608" s="171">
        <v>2014</v>
      </c>
      <c r="T608" s="171">
        <v>2015</v>
      </c>
      <c r="U608" s="171">
        <v>2016</v>
      </c>
      <c r="V608" s="171">
        <v>2017</v>
      </c>
      <c r="W608" s="171">
        <v>2018</v>
      </c>
      <c r="X608" s="171">
        <v>2019</v>
      </c>
      <c r="Y608"/>
      <c r="Z608"/>
      <c r="AA608"/>
      <c r="AB608"/>
      <c r="AC608"/>
      <c r="AD608"/>
      <c r="AE608"/>
      <c r="AF608"/>
      <c r="AG608"/>
    </row>
    <row r="609" spans="1:33" ht="12.75">
      <c r="A609" s="166" t="s">
        <v>430</v>
      </c>
      <c r="B609" s="581">
        <f>NPV(0.1,D609:Y609)</f>
        <v>418867.16558122361</v>
      </c>
      <c r="C609" s="581">
        <f>B609-B598</f>
        <v>0</v>
      </c>
      <c r="D609" s="585">
        <v>26898.216959999994</v>
      </c>
      <c r="E609" s="586">
        <v>40079.915814977372</v>
      </c>
      <c r="F609" s="586">
        <v>40673.161342217194</v>
      </c>
      <c r="G609" s="586">
        <v>40731.64097768371</v>
      </c>
      <c r="H609" s="586">
        <v>47605.84011425489</v>
      </c>
      <c r="I609" s="586">
        <v>52769.765885234337</v>
      </c>
      <c r="J609" s="586">
        <v>53213.775120657876</v>
      </c>
      <c r="K609" s="586">
        <v>53653.259503785877</v>
      </c>
      <c r="L609" s="586">
        <v>54718.611193040255</v>
      </c>
      <c r="M609" s="586">
        <v>55165.928277364612</v>
      </c>
      <c r="N609" s="586">
        <v>56276.660029826366</v>
      </c>
      <c r="O609" s="587">
        <v>56731.133874277803</v>
      </c>
      <c r="P609" s="167">
        <v>57888.82179464693</v>
      </c>
      <c r="Q609" s="167">
        <v>58349.665078533413</v>
      </c>
      <c r="R609" s="167">
        <v>58802.386402713681</v>
      </c>
      <c r="S609" s="167">
        <v>59246.083690649852</v>
      </c>
      <c r="T609" s="167">
        <v>59679.808050975516</v>
      </c>
      <c r="U609" s="167">
        <v>60102.561780474927</v>
      </c>
      <c r="V609" s="167">
        <v>60513.296289374215</v>
      </c>
      <c r="W609" s="167">
        <v>60910.909946080785</v>
      </c>
      <c r="X609" s="167">
        <v>61294.245838405084</v>
      </c>
      <c r="Y609"/>
      <c r="Z609"/>
      <c r="AA609"/>
      <c r="AB609"/>
      <c r="AC609"/>
      <c r="AD609"/>
      <c r="AE609"/>
      <c r="AF609"/>
      <c r="AG609"/>
    </row>
    <row r="610" spans="1:33" ht="12.75">
      <c r="A610" s="168" t="s">
        <v>431</v>
      </c>
      <c r="B610" s="581">
        <f>NPV(0.1,D610:Y610)</f>
        <v>196860.30723966908</v>
      </c>
      <c r="C610" s="581">
        <f>B610-B599</f>
        <v>-14.619230507552857</v>
      </c>
      <c r="D610" s="585">
        <v>18832.90043852941</v>
      </c>
      <c r="E610" s="586">
        <v>20833.869270975509</v>
      </c>
      <c r="F610" s="586">
        <v>21171.777332619145</v>
      </c>
      <c r="G610" s="586">
        <v>21276.585769699974</v>
      </c>
      <c r="H610" s="586">
        <v>22526.071660798054</v>
      </c>
      <c r="I610" s="586">
        <v>23310.802438741255</v>
      </c>
      <c r="J610" s="586">
        <v>23440.505251641694</v>
      </c>
      <c r="K610" s="586">
        <v>23568.985687134467</v>
      </c>
      <c r="L610" s="586">
        <v>23701.810122459603</v>
      </c>
      <c r="M610" s="586">
        <v>23839.108877612063</v>
      </c>
      <c r="N610" s="586">
        <v>23975.576329213607</v>
      </c>
      <c r="O610" s="587">
        <v>24900.129414841329</v>
      </c>
      <c r="P610" s="167">
        <v>24986.394499725935</v>
      </c>
      <c r="Q610" s="167">
        <v>25061.375912075757</v>
      </c>
      <c r="R610" s="167">
        <v>25141.544287401535</v>
      </c>
      <c r="S610" s="167">
        <v>25227.055234592539</v>
      </c>
      <c r="T610" s="167">
        <v>25285.429912966338</v>
      </c>
      <c r="U610" s="167">
        <v>25333.152966912763</v>
      </c>
      <c r="V610" s="167">
        <v>25386.713993385762</v>
      </c>
      <c r="W610" s="167">
        <v>25544.205485076309</v>
      </c>
      <c r="X610" s="167">
        <v>25756.849158577879</v>
      </c>
      <c r="Y610"/>
      <c r="Z610"/>
      <c r="AA610"/>
      <c r="AB610"/>
      <c r="AC610"/>
      <c r="AD610"/>
      <c r="AE610"/>
      <c r="AF610"/>
      <c r="AG610"/>
    </row>
    <row r="611" spans="1:33" ht="12.75">
      <c r="A611" s="168" t="s">
        <v>34</v>
      </c>
      <c r="B611" s="581">
        <f>NPV(0.1,D611:Y611)</f>
        <v>80304.895009553598</v>
      </c>
      <c r="C611" s="581">
        <f>B611-B600</f>
        <v>41.929511839625775</v>
      </c>
      <c r="D611" s="585">
        <v>-1916.3688233313978</v>
      </c>
      <c r="E611" s="586">
        <v>3405.7771579076662</v>
      </c>
      <c r="F611" s="586">
        <v>3730.2332604758808</v>
      </c>
      <c r="G611" s="586">
        <v>3980.1357379415826</v>
      </c>
      <c r="H611" s="586">
        <v>7857.3150666847177</v>
      </c>
      <c r="I611" s="586">
        <v>10947.569964995433</v>
      </c>
      <c r="J611" s="586">
        <v>11546.221351443961</v>
      </c>
      <c r="K611" s="586">
        <v>12000.578041004526</v>
      </c>
      <c r="L611" s="586">
        <v>12843.522755222099</v>
      </c>
      <c r="M611" s="586">
        <v>13460.533280439038</v>
      </c>
      <c r="N611" s="586">
        <v>14606.691582292484</v>
      </c>
      <c r="O611" s="587">
        <v>14441.644063223301</v>
      </c>
      <c r="P611" s="167">
        <v>15272.586254771391</v>
      </c>
      <c r="Q611" s="167">
        <v>15674.902877391203</v>
      </c>
      <c r="R611" s="167">
        <v>16068.898512007816</v>
      </c>
      <c r="S611" s="167">
        <v>16453.911873860583</v>
      </c>
      <c r="T611" s="167">
        <v>16849.656078448432</v>
      </c>
      <c r="U611" s="167">
        <v>17406.269379879319</v>
      </c>
      <c r="V611" s="167">
        <v>18016.145447595034</v>
      </c>
      <c r="W611" s="167">
        <v>18649.479964328646</v>
      </c>
      <c r="X611" s="167">
        <v>19317.906939359462</v>
      </c>
      <c r="Y611"/>
      <c r="Z611"/>
      <c r="AA611"/>
      <c r="AB611"/>
      <c r="AC611"/>
      <c r="AD611"/>
      <c r="AE611"/>
      <c r="AF611"/>
      <c r="AG611"/>
    </row>
    <row r="612" spans="1:33" ht="12.75">
      <c r="A612" s="168" t="s">
        <v>31</v>
      </c>
      <c r="B612" s="581">
        <f>NPV(0.1,D612:Y612)</f>
        <v>84054.863734049402</v>
      </c>
      <c r="C612" s="581">
        <f>B612-B601</f>
        <v>-30.265400390489958</v>
      </c>
      <c r="D612" s="588">
        <v>-5718.3348220110347</v>
      </c>
      <c r="E612" s="589">
        <v>3460.1055701353234</v>
      </c>
      <c r="F612" s="589">
        <v>4742.2154037718919</v>
      </c>
      <c r="G612" s="589">
        <v>3400.5157721374017</v>
      </c>
      <c r="H612" s="589">
        <v>13149.848693178919</v>
      </c>
      <c r="I612" s="589">
        <v>17022.542345547288</v>
      </c>
      <c r="J612" s="589">
        <v>12578.54705265283</v>
      </c>
      <c r="K612" s="589">
        <v>13029.51108760983</v>
      </c>
      <c r="L612" s="589">
        <v>10373.936603457903</v>
      </c>
      <c r="M612" s="589">
        <v>8612.5163270443409</v>
      </c>
      <c r="N612" s="589">
        <v>18479.515577555219</v>
      </c>
      <c r="O612" s="590">
        <v>18465.776084976904</v>
      </c>
      <c r="P612" s="167">
        <v>18447.821867330415</v>
      </c>
      <c r="Q612" s="167">
        <v>18839.538129400527</v>
      </c>
      <c r="R612" s="167">
        <v>19227.814565647641</v>
      </c>
      <c r="S612" s="167">
        <v>17891.698408497916</v>
      </c>
      <c r="T612" s="167">
        <v>13311.187476244868</v>
      </c>
      <c r="U612" s="167">
        <v>12542.129968756561</v>
      </c>
      <c r="V612" s="167">
        <v>11238.756036472274</v>
      </c>
      <c r="W612" s="167">
        <v>10694.507906721059</v>
      </c>
      <c r="X612" s="167">
        <v>22218.646730415716</v>
      </c>
      <c r="Y612"/>
      <c r="Z612"/>
      <c r="AA612"/>
      <c r="AB612"/>
      <c r="AC612"/>
      <c r="AD612"/>
      <c r="AE612"/>
      <c r="AF612"/>
      <c r="AG612"/>
    </row>
    <row r="613" spans="1:33" ht="12.75">
      <c r="A613" s="163"/>
      <c r="B613" s="163"/>
      <c r="C613" s="163"/>
      <c r="D613"/>
      <c r="E613"/>
      <c r="F613"/>
      <c r="G613"/>
      <c r="H613"/>
      <c r="I613"/>
      <c r="J613"/>
      <c r="K613"/>
      <c r="L613"/>
      <c r="M613"/>
      <c r="N613"/>
      <c r="O613"/>
      <c r="P613"/>
      <c r="Q613"/>
      <c r="R613"/>
      <c r="S613"/>
      <c r="T613"/>
      <c r="U613"/>
      <c r="V613"/>
      <c r="W613"/>
      <c r="X613"/>
      <c r="Y613"/>
      <c r="Z613"/>
      <c r="AA613"/>
      <c r="AB613"/>
      <c r="AC613"/>
      <c r="AD613"/>
      <c r="AE613"/>
      <c r="AF613"/>
      <c r="AG613"/>
    </row>
    <row r="614" spans="1:33" ht="12.75">
      <c r="A614" s="163"/>
      <c r="B614" s="163"/>
      <c r="C614" s="163"/>
      <c r="D614"/>
      <c r="E614"/>
      <c r="F614"/>
      <c r="G614"/>
      <c r="H614"/>
      <c r="I614"/>
      <c r="J614"/>
      <c r="K614"/>
      <c r="L614"/>
      <c r="M614"/>
      <c r="N614"/>
      <c r="O614"/>
      <c r="P614"/>
      <c r="Q614"/>
      <c r="R614"/>
      <c r="S614"/>
      <c r="T614"/>
      <c r="U614"/>
      <c r="V614"/>
      <c r="W614"/>
      <c r="X614"/>
      <c r="Y614"/>
      <c r="Z614"/>
      <c r="AA614"/>
      <c r="AB614"/>
      <c r="AC614"/>
      <c r="AD614"/>
      <c r="AE614"/>
      <c r="AF614"/>
      <c r="AG614"/>
    </row>
    <row r="615" spans="1:33" ht="12.75">
      <c r="A615" s="169" t="s">
        <v>699</v>
      </c>
      <c r="B615" s="163"/>
      <c r="C615" s="163"/>
      <c r="D615"/>
      <c r="E615"/>
      <c r="F615"/>
      <c r="G615"/>
      <c r="H615"/>
      <c r="I615"/>
      <c r="J615"/>
      <c r="K615"/>
      <c r="L615"/>
      <c r="M615"/>
      <c r="N615"/>
      <c r="O615"/>
      <c r="P615"/>
      <c r="Q615"/>
      <c r="R615"/>
      <c r="S615"/>
      <c r="T615"/>
      <c r="U615"/>
      <c r="V615"/>
      <c r="W615"/>
      <c r="X615"/>
      <c r="Y615"/>
      <c r="Z615"/>
      <c r="AA615"/>
      <c r="AB615"/>
      <c r="AC615"/>
      <c r="AD615"/>
      <c r="AE615"/>
      <c r="AF615"/>
      <c r="AG615"/>
    </row>
    <row r="616" spans="1:33" ht="12.75">
      <c r="A616" s="416">
        <v>36396</v>
      </c>
      <c r="B616" s="163"/>
      <c r="C616" s="163"/>
      <c r="D616"/>
      <c r="E616"/>
      <c r="F616"/>
      <c r="G616"/>
      <c r="H616"/>
      <c r="I616"/>
      <c r="J616"/>
      <c r="K616"/>
      <c r="L616"/>
      <c r="M616"/>
      <c r="N616"/>
      <c r="O616"/>
      <c r="P616"/>
      <c r="Q616"/>
      <c r="R616"/>
      <c r="S616"/>
      <c r="T616"/>
      <c r="U616"/>
      <c r="V616"/>
      <c r="W616"/>
      <c r="X616"/>
      <c r="Y616"/>
      <c r="Z616"/>
      <c r="AA616"/>
      <c r="AB616"/>
      <c r="AC616"/>
      <c r="AD616"/>
      <c r="AE616"/>
      <c r="AF616"/>
      <c r="AG616"/>
    </row>
    <row r="617" spans="1:33" ht="12.75">
      <c r="A617" s="164" t="s">
        <v>427</v>
      </c>
      <c r="B617" s="172">
        <v>35360.099941280103</v>
      </c>
      <c r="C617" s="163"/>
      <c r="D617"/>
      <c r="E617"/>
      <c r="F617"/>
      <c r="G617"/>
      <c r="H617"/>
      <c r="I617"/>
      <c r="J617"/>
      <c r="K617"/>
      <c r="L617"/>
      <c r="M617"/>
      <c r="N617"/>
      <c r="O617"/>
      <c r="P617"/>
      <c r="Q617"/>
      <c r="R617"/>
      <c r="S617"/>
      <c r="T617"/>
      <c r="U617"/>
      <c r="V617"/>
      <c r="W617"/>
      <c r="X617"/>
      <c r="Y617"/>
      <c r="Z617"/>
      <c r="AA617"/>
      <c r="AB617"/>
      <c r="AC617"/>
      <c r="AD617"/>
      <c r="AE617"/>
      <c r="AF617"/>
      <c r="AG617"/>
    </row>
    <row r="618" spans="1:33" ht="12.75">
      <c r="A618" s="165" t="s">
        <v>428</v>
      </c>
      <c r="B618" s="173">
        <v>64965.890315061406</v>
      </c>
      <c r="C618" s="163"/>
      <c r="D618"/>
      <c r="E618"/>
      <c r="F618"/>
      <c r="G618"/>
      <c r="H618"/>
      <c r="I618"/>
      <c r="J618"/>
      <c r="K618"/>
      <c r="L618"/>
      <c r="M618"/>
      <c r="N618"/>
      <c r="O618"/>
      <c r="P618"/>
      <c r="Q618"/>
      <c r="R618"/>
      <c r="S618"/>
      <c r="T618"/>
      <c r="U618"/>
      <c r="V618"/>
      <c r="W618"/>
      <c r="X618"/>
      <c r="Y618"/>
      <c r="Z618"/>
      <c r="AA618"/>
      <c r="AB618"/>
      <c r="AC618"/>
      <c r="AD618"/>
      <c r="AE618"/>
      <c r="AF618"/>
      <c r="AG618"/>
    </row>
    <row r="619" spans="1:33" ht="12.75">
      <c r="A619" s="166" t="s">
        <v>429</v>
      </c>
      <c r="B619" s="580" t="s">
        <v>499</v>
      </c>
      <c r="C619" s="580" t="s">
        <v>500</v>
      </c>
      <c r="D619" s="582">
        <v>1999</v>
      </c>
      <c r="E619" s="583">
        <v>2000</v>
      </c>
      <c r="F619" s="583">
        <v>2001</v>
      </c>
      <c r="G619" s="583">
        <v>2002</v>
      </c>
      <c r="H619" s="583">
        <v>2003</v>
      </c>
      <c r="I619" s="583">
        <v>2004</v>
      </c>
      <c r="J619" s="583">
        <v>2005</v>
      </c>
      <c r="K619" s="583">
        <v>2006</v>
      </c>
      <c r="L619" s="583">
        <v>2007</v>
      </c>
      <c r="M619" s="583">
        <v>2008</v>
      </c>
      <c r="N619" s="583">
        <v>2009</v>
      </c>
      <c r="O619" s="584">
        <v>2010</v>
      </c>
      <c r="P619" s="171">
        <v>2011</v>
      </c>
      <c r="Q619" s="171">
        <v>2012</v>
      </c>
      <c r="R619" s="171">
        <v>2013</v>
      </c>
      <c r="S619" s="171">
        <v>2014</v>
      </c>
      <c r="T619" s="171">
        <v>2015</v>
      </c>
      <c r="U619" s="171">
        <v>2016</v>
      </c>
      <c r="V619" s="171">
        <v>2017</v>
      </c>
      <c r="W619" s="171">
        <v>2018</v>
      </c>
      <c r="X619" s="171">
        <v>2019</v>
      </c>
      <c r="Y619"/>
      <c r="Z619"/>
      <c r="AA619"/>
      <c r="AB619"/>
      <c r="AC619"/>
      <c r="AD619"/>
      <c r="AE619"/>
      <c r="AF619"/>
      <c r="AG619"/>
    </row>
    <row r="620" spans="1:33" ht="12.75">
      <c r="A620" s="166" t="s">
        <v>430</v>
      </c>
      <c r="B620" s="581">
        <f>NPV(0.1,D620:Y620)</f>
        <v>418867.16558122361</v>
      </c>
      <c r="C620" s="581">
        <f>B620-B609</f>
        <v>0</v>
      </c>
      <c r="D620" s="585">
        <v>26898.216959999994</v>
      </c>
      <c r="E620" s="586">
        <v>40079.915814977372</v>
      </c>
      <c r="F620" s="586">
        <v>40673.161342217194</v>
      </c>
      <c r="G620" s="586">
        <v>40731.64097768371</v>
      </c>
      <c r="H620" s="586">
        <v>47605.84011425489</v>
      </c>
      <c r="I620" s="586">
        <v>52769.765885234337</v>
      </c>
      <c r="J620" s="586">
        <v>53213.775120657876</v>
      </c>
      <c r="K620" s="586">
        <v>53653.259503785877</v>
      </c>
      <c r="L620" s="586">
        <v>54718.611193040255</v>
      </c>
      <c r="M620" s="586">
        <v>55165.928277364612</v>
      </c>
      <c r="N620" s="586">
        <v>56276.660029826366</v>
      </c>
      <c r="O620" s="587">
        <v>56731.133874277803</v>
      </c>
      <c r="P620" s="167">
        <v>57888.82179464693</v>
      </c>
      <c r="Q620" s="167">
        <v>58349.665078533413</v>
      </c>
      <c r="R620" s="167">
        <v>58802.386402713681</v>
      </c>
      <c r="S620" s="167">
        <v>59246.083690649852</v>
      </c>
      <c r="T620" s="167">
        <v>59679.808050975516</v>
      </c>
      <c r="U620" s="167">
        <v>60102.561780474927</v>
      </c>
      <c r="V620" s="167">
        <v>60513.296289374215</v>
      </c>
      <c r="W620" s="167">
        <v>60910.909946080785</v>
      </c>
      <c r="X620" s="167">
        <v>61294.245838405084</v>
      </c>
      <c r="Y620"/>
      <c r="Z620"/>
      <c r="AA620"/>
      <c r="AB620"/>
      <c r="AC620"/>
      <c r="AD620"/>
      <c r="AE620"/>
      <c r="AF620"/>
      <c r="AG620"/>
    </row>
    <row r="621" spans="1:33" ht="12.75">
      <c r="A621" s="168" t="s">
        <v>431</v>
      </c>
      <c r="B621" s="581">
        <f>NPV(0.1,D621:Y621)</f>
        <v>196860.30723966908</v>
      </c>
      <c r="C621" s="581">
        <f>B621-B610</f>
        <v>0</v>
      </c>
      <c r="D621" s="585">
        <v>18832.90043852941</v>
      </c>
      <c r="E621" s="586">
        <v>20833.869270975509</v>
      </c>
      <c r="F621" s="586">
        <v>21171.777332619145</v>
      </c>
      <c r="G621" s="586">
        <v>21276.585769699974</v>
      </c>
      <c r="H621" s="586">
        <v>22526.071660798054</v>
      </c>
      <c r="I621" s="586">
        <v>23310.802438741255</v>
      </c>
      <c r="J621" s="586">
        <v>23440.505251641694</v>
      </c>
      <c r="K621" s="586">
        <v>23568.985687134467</v>
      </c>
      <c r="L621" s="586">
        <v>23701.810122459603</v>
      </c>
      <c r="M621" s="586">
        <v>23839.108877612063</v>
      </c>
      <c r="N621" s="586">
        <v>23975.576329213607</v>
      </c>
      <c r="O621" s="587">
        <v>24900.129414841329</v>
      </c>
      <c r="P621" s="167">
        <v>24986.394499725935</v>
      </c>
      <c r="Q621" s="167">
        <v>25061.375912075757</v>
      </c>
      <c r="R621" s="167">
        <v>25141.544287401535</v>
      </c>
      <c r="S621" s="167">
        <v>25227.055234592539</v>
      </c>
      <c r="T621" s="167">
        <v>25285.429912966338</v>
      </c>
      <c r="U621" s="167">
        <v>25333.152966912763</v>
      </c>
      <c r="V621" s="167">
        <v>25386.713993385762</v>
      </c>
      <c r="W621" s="167">
        <v>25544.205485076309</v>
      </c>
      <c r="X621" s="167">
        <v>25756.849158577879</v>
      </c>
      <c r="Y621"/>
      <c r="Z621"/>
      <c r="AA621"/>
      <c r="AB621"/>
      <c r="AC621"/>
      <c r="AD621"/>
      <c r="AE621"/>
      <c r="AF621"/>
      <c r="AG621"/>
    </row>
    <row r="622" spans="1:33" ht="12.75">
      <c r="A622" s="168" t="s">
        <v>34</v>
      </c>
      <c r="B622" s="581">
        <f>NPV(0.1,D622:Y622)</f>
        <v>80348.341198193128</v>
      </c>
      <c r="C622" s="581">
        <f>B622-B611</f>
        <v>43.446188639529282</v>
      </c>
      <c r="D622" s="585">
        <v>-1914.1389999563969</v>
      </c>
      <c r="E622" s="586">
        <v>3411.1287340076656</v>
      </c>
      <c r="F622" s="586">
        <v>3735.5848365758802</v>
      </c>
      <c r="G622" s="586">
        <v>3985.4873140415821</v>
      </c>
      <c r="H622" s="586">
        <v>7862.6666427847176</v>
      </c>
      <c r="I622" s="586">
        <v>10952.921541095433</v>
      </c>
      <c r="J622" s="586">
        <v>11551.572927543961</v>
      </c>
      <c r="K622" s="586">
        <v>12005.929617104526</v>
      </c>
      <c r="L622" s="586">
        <v>12848.874331322098</v>
      </c>
      <c r="M622" s="586">
        <v>13465.88485653904</v>
      </c>
      <c r="N622" s="586">
        <v>14612.043158392486</v>
      </c>
      <c r="O622" s="587">
        <v>14446.995639323301</v>
      </c>
      <c r="P622" s="167">
        <v>15277.937830871391</v>
      </c>
      <c r="Q622" s="167">
        <v>15680.254453491203</v>
      </c>
      <c r="R622" s="167">
        <v>16074.250088107816</v>
      </c>
      <c r="S622" s="167">
        <v>16459.263449960585</v>
      </c>
      <c r="T622" s="167">
        <v>16855.00765454843</v>
      </c>
      <c r="U622" s="167">
        <v>17411.620955979321</v>
      </c>
      <c r="V622" s="167">
        <v>18021.497023695032</v>
      </c>
      <c r="W622" s="167">
        <v>18654.831540428644</v>
      </c>
      <c r="X622" s="167">
        <v>19323.258515459464</v>
      </c>
      <c r="Y622"/>
      <c r="Z622"/>
      <c r="AA622"/>
      <c r="AB622"/>
      <c r="AC622"/>
      <c r="AD622"/>
      <c r="AE622"/>
      <c r="AF622"/>
      <c r="AG622"/>
    </row>
    <row r="623" spans="1:33" ht="12.75">
      <c r="A623" s="168" t="s">
        <v>31</v>
      </c>
      <c r="B623" s="581">
        <f>NPV(0.1,D623:Y623)</f>
        <v>84005.557007310737</v>
      </c>
      <c r="C623" s="581">
        <f>B623-B612</f>
        <v>-49.30672673866502</v>
      </c>
      <c r="D623" s="588">
        <v>-5718.3348220110347</v>
      </c>
      <c r="E623" s="589">
        <v>3460.1055701353234</v>
      </c>
      <c r="F623" s="589">
        <v>4742.2154037718919</v>
      </c>
      <c r="G623" s="589">
        <v>3400.5157721374017</v>
      </c>
      <c r="H623" s="589">
        <v>13149.848693178919</v>
      </c>
      <c r="I623" s="589">
        <v>16974.022616664282</v>
      </c>
      <c r="J623" s="589">
        <v>12572.027662982829</v>
      </c>
      <c r="K623" s="589">
        <v>13022.980648126828</v>
      </c>
      <c r="L623" s="589">
        <v>10367.417213787903</v>
      </c>
      <c r="M623" s="589">
        <v>8605.9858875613445</v>
      </c>
      <c r="N623" s="589">
        <v>18472.996187885219</v>
      </c>
      <c r="O623" s="590">
        <v>18459.245645493906</v>
      </c>
      <c r="P623" s="167">
        <v>18441.302477660414</v>
      </c>
      <c r="Q623" s="167">
        <v>18833.007689917529</v>
      </c>
      <c r="R623" s="167">
        <v>19221.295175977641</v>
      </c>
      <c r="S623" s="167">
        <v>17888.438713662916</v>
      </c>
      <c r="T623" s="167">
        <v>13311.187476244868</v>
      </c>
      <c r="U623" s="167">
        <v>12542.129968756561</v>
      </c>
      <c r="V623" s="167">
        <v>11238.756036472274</v>
      </c>
      <c r="W623" s="167">
        <v>10694.507906721059</v>
      </c>
      <c r="X623" s="167">
        <v>22218.646730415712</v>
      </c>
      <c r="Y623"/>
      <c r="Z623"/>
      <c r="AA623"/>
      <c r="AB623"/>
      <c r="AC623"/>
      <c r="AD623"/>
      <c r="AE623"/>
      <c r="AF623"/>
      <c r="AG623"/>
    </row>
    <row r="624" spans="1:33" ht="12.75">
      <c r="A624" s="163"/>
      <c r="B624" s="163"/>
      <c r="C624" s="163"/>
      <c r="D624"/>
      <c r="E624"/>
      <c r="F624"/>
      <c r="G624"/>
      <c r="H624"/>
      <c r="I624"/>
      <c r="J624"/>
      <c r="K624"/>
      <c r="L624"/>
      <c r="M624"/>
      <c r="N624"/>
      <c r="O624"/>
      <c r="P624"/>
      <c r="Q624"/>
      <c r="R624"/>
      <c r="S624"/>
      <c r="T624"/>
      <c r="U624"/>
      <c r="V624"/>
      <c r="W624"/>
      <c r="X624"/>
      <c r="Y624"/>
      <c r="Z624"/>
      <c r="AA624"/>
      <c r="AB624"/>
      <c r="AC624"/>
      <c r="AD624"/>
      <c r="AE624"/>
      <c r="AF624"/>
      <c r="AG624"/>
    </row>
    <row r="625" spans="1:33" ht="12.75">
      <c r="A625" s="163"/>
      <c r="B625" s="163"/>
      <c r="C625" s="163"/>
      <c r="D625"/>
      <c r="E625"/>
      <c r="F625"/>
      <c r="G625"/>
      <c r="H625"/>
      <c r="I625"/>
      <c r="J625"/>
      <c r="K625"/>
      <c r="L625"/>
      <c r="M625"/>
      <c r="N625"/>
      <c r="O625"/>
      <c r="P625"/>
      <c r="Q625"/>
      <c r="R625"/>
      <c r="S625"/>
      <c r="T625"/>
      <c r="U625"/>
      <c r="V625"/>
      <c r="W625"/>
      <c r="X625"/>
      <c r="Y625"/>
      <c r="Z625"/>
      <c r="AA625"/>
      <c r="AB625"/>
      <c r="AC625"/>
      <c r="AD625"/>
      <c r="AE625"/>
      <c r="AF625"/>
      <c r="AG625"/>
    </row>
    <row r="626" spans="1:33" ht="12.75">
      <c r="A626" s="169" t="s">
        <v>700</v>
      </c>
      <c r="B626" s="163"/>
      <c r="C626" s="163"/>
      <c r="D626"/>
      <c r="E626"/>
      <c r="F626"/>
      <c r="G626"/>
      <c r="H626"/>
      <c r="I626"/>
      <c r="J626"/>
      <c r="K626"/>
      <c r="L626"/>
      <c r="M626"/>
      <c r="N626"/>
      <c r="O626"/>
      <c r="P626"/>
      <c r="Q626"/>
      <c r="R626"/>
      <c r="S626"/>
      <c r="T626"/>
      <c r="U626"/>
      <c r="V626"/>
      <c r="W626"/>
      <c r="X626"/>
      <c r="Y626"/>
      <c r="Z626"/>
      <c r="AA626"/>
      <c r="AB626"/>
      <c r="AC626"/>
      <c r="AD626"/>
      <c r="AE626"/>
      <c r="AF626"/>
      <c r="AG626"/>
    </row>
    <row r="627" spans="1:33" ht="12.75">
      <c r="A627" s="416">
        <v>36403</v>
      </c>
      <c r="B627" s="163"/>
      <c r="C627" s="163"/>
      <c r="D627"/>
      <c r="E627"/>
      <c r="F627"/>
      <c r="G627"/>
      <c r="H627"/>
      <c r="I627"/>
      <c r="J627"/>
      <c r="K627"/>
      <c r="L627"/>
      <c r="M627"/>
      <c r="N627"/>
      <c r="O627"/>
      <c r="P627"/>
      <c r="Q627"/>
      <c r="R627"/>
      <c r="S627"/>
      <c r="T627"/>
      <c r="U627"/>
      <c r="V627"/>
      <c r="W627"/>
      <c r="X627"/>
      <c r="Y627"/>
      <c r="Z627"/>
      <c r="AA627"/>
      <c r="AB627"/>
      <c r="AC627"/>
      <c r="AD627"/>
      <c r="AE627"/>
      <c r="AF627"/>
      <c r="AG627"/>
    </row>
    <row r="628" spans="1:33" ht="12.75">
      <c r="A628" s="164" t="s">
        <v>427</v>
      </c>
      <c r="B628" s="172">
        <v>35395.810300426594</v>
      </c>
      <c r="C628" s="163"/>
      <c r="D628"/>
      <c r="E628"/>
      <c r="F628"/>
      <c r="G628"/>
      <c r="H628"/>
      <c r="I628"/>
      <c r="J628"/>
      <c r="K628"/>
      <c r="L628"/>
      <c r="M628"/>
      <c r="N628"/>
      <c r="O628"/>
      <c r="P628"/>
      <c r="Q628"/>
      <c r="R628"/>
      <c r="S628"/>
      <c r="T628"/>
      <c r="U628"/>
      <c r="V628"/>
      <c r="W628"/>
      <c r="X628"/>
      <c r="Y628"/>
      <c r="Z628"/>
      <c r="AA628"/>
      <c r="AB628"/>
      <c r="AC628"/>
      <c r="AD628"/>
      <c r="AE628"/>
      <c r="AF628"/>
      <c r="AG628"/>
    </row>
    <row r="629" spans="1:33" ht="12.75">
      <c r="A629" s="165" t="s">
        <v>428</v>
      </c>
      <c r="B629" s="1174">
        <v>65006.807315061364</v>
      </c>
      <c r="C629" s="163"/>
      <c r="D629"/>
      <c r="E629"/>
      <c r="F629"/>
      <c r="G629"/>
      <c r="H629"/>
      <c r="I629"/>
      <c r="J629"/>
      <c r="K629"/>
      <c r="L629"/>
      <c r="M629"/>
      <c r="N629"/>
      <c r="O629"/>
      <c r="P629"/>
      <c r="Q629"/>
      <c r="R629"/>
      <c r="S629"/>
      <c r="T629"/>
      <c r="U629"/>
      <c r="V629"/>
      <c r="W629"/>
      <c r="X629"/>
      <c r="Y629"/>
      <c r="Z629"/>
      <c r="AA629"/>
      <c r="AB629"/>
      <c r="AC629"/>
      <c r="AD629"/>
      <c r="AE629"/>
      <c r="AF629"/>
      <c r="AG629"/>
    </row>
    <row r="630" spans="1:33" ht="12.75">
      <c r="A630" s="166" t="s">
        <v>429</v>
      </c>
      <c r="B630" s="580" t="s">
        <v>499</v>
      </c>
      <c r="C630" s="580" t="s">
        <v>500</v>
      </c>
      <c r="D630" s="582">
        <v>1999</v>
      </c>
      <c r="E630" s="583">
        <v>2000</v>
      </c>
      <c r="F630" s="583">
        <v>2001</v>
      </c>
      <c r="G630" s="583">
        <v>2002</v>
      </c>
      <c r="H630" s="583">
        <v>2003</v>
      </c>
      <c r="I630" s="583">
        <v>2004</v>
      </c>
      <c r="J630" s="583">
        <v>2005</v>
      </c>
      <c r="K630" s="583">
        <v>2006</v>
      </c>
      <c r="L630" s="583">
        <v>2007</v>
      </c>
      <c r="M630" s="583">
        <v>2008</v>
      </c>
      <c r="N630" s="583">
        <v>2009</v>
      </c>
      <c r="O630" s="584">
        <v>2010</v>
      </c>
      <c r="P630" s="171">
        <v>2011</v>
      </c>
      <c r="Q630" s="171">
        <v>2012</v>
      </c>
      <c r="R630" s="171">
        <v>2013</v>
      </c>
      <c r="S630" s="171">
        <v>2014</v>
      </c>
      <c r="T630" s="171">
        <v>2015</v>
      </c>
      <c r="U630" s="171">
        <v>2016</v>
      </c>
      <c r="V630" s="171">
        <v>2017</v>
      </c>
      <c r="W630" s="171">
        <v>2018</v>
      </c>
      <c r="X630" s="171">
        <v>2019</v>
      </c>
      <c r="Y630"/>
      <c r="Z630"/>
      <c r="AA630"/>
      <c r="AB630"/>
      <c r="AC630"/>
      <c r="AD630"/>
      <c r="AE630"/>
      <c r="AF630"/>
      <c r="AG630"/>
    </row>
    <row r="631" spans="1:33" ht="12.75">
      <c r="A631" s="166" t="s">
        <v>430</v>
      </c>
      <c r="B631" s="581">
        <f>NPV(0.1,D631:Y631)</f>
        <v>418867.16558122361</v>
      </c>
      <c r="C631" s="581">
        <f>B631-B620</f>
        <v>0</v>
      </c>
      <c r="D631" s="585">
        <v>26898.216959999994</v>
      </c>
      <c r="E631" s="586">
        <v>40079.915814977372</v>
      </c>
      <c r="F631" s="586">
        <v>40673.161342217194</v>
      </c>
      <c r="G631" s="586">
        <v>40731.64097768371</v>
      </c>
      <c r="H631" s="586">
        <v>47605.84011425489</v>
      </c>
      <c r="I631" s="586">
        <v>52769.765885234337</v>
      </c>
      <c r="J631" s="586">
        <v>53213.775120657876</v>
      </c>
      <c r="K631" s="586">
        <v>53653.259503785877</v>
      </c>
      <c r="L631" s="586">
        <v>54718.611193040255</v>
      </c>
      <c r="M631" s="586">
        <v>55165.928277364612</v>
      </c>
      <c r="N631" s="586">
        <v>56276.660029826366</v>
      </c>
      <c r="O631" s="587">
        <v>56731.133874277803</v>
      </c>
      <c r="P631" s="167">
        <v>57888.82179464693</v>
      </c>
      <c r="Q631" s="167">
        <v>58349.665078533413</v>
      </c>
      <c r="R631" s="167">
        <v>58802.386402713681</v>
      </c>
      <c r="S631" s="167">
        <v>59246.083690649852</v>
      </c>
      <c r="T631" s="167">
        <v>59679.808050975516</v>
      </c>
      <c r="U631" s="167">
        <v>60102.561780474927</v>
      </c>
      <c r="V631" s="167">
        <v>60513.296289374215</v>
      </c>
      <c r="W631" s="167">
        <v>60910.909946080785</v>
      </c>
      <c r="X631" s="167">
        <v>61294.245838405084</v>
      </c>
      <c r="Y631"/>
      <c r="Z631"/>
      <c r="AA631"/>
      <c r="AB631"/>
      <c r="AC631"/>
      <c r="AD631"/>
      <c r="AE631"/>
      <c r="AF631"/>
      <c r="AG631"/>
    </row>
    <row r="632" spans="1:33" ht="12.75">
      <c r="A632" s="168" t="s">
        <v>431</v>
      </c>
      <c r="B632" s="581">
        <f>NPV(0.1,D632:Y632)</f>
        <v>196860.30723966908</v>
      </c>
      <c r="C632" s="581">
        <f>B632-B621</f>
        <v>0</v>
      </c>
      <c r="D632" s="585">
        <v>18832.90043852941</v>
      </c>
      <c r="E632" s="586">
        <v>20833.869270975509</v>
      </c>
      <c r="F632" s="586">
        <v>21171.777332619145</v>
      </c>
      <c r="G632" s="586">
        <v>21276.585769699974</v>
      </c>
      <c r="H632" s="586">
        <v>22526.071660798054</v>
      </c>
      <c r="I632" s="586">
        <v>23310.802438741255</v>
      </c>
      <c r="J632" s="586">
        <v>23440.505251641694</v>
      </c>
      <c r="K632" s="586">
        <v>23568.985687134467</v>
      </c>
      <c r="L632" s="586">
        <v>23701.810122459603</v>
      </c>
      <c r="M632" s="586">
        <v>23839.108877612063</v>
      </c>
      <c r="N632" s="586">
        <v>23975.576329213607</v>
      </c>
      <c r="O632" s="587">
        <v>24900.129414841329</v>
      </c>
      <c r="P632" s="167">
        <v>24986.394499725935</v>
      </c>
      <c r="Q632" s="167">
        <v>25061.375912075757</v>
      </c>
      <c r="R632" s="167">
        <v>25141.544287401535</v>
      </c>
      <c r="S632" s="167">
        <v>25227.055234592539</v>
      </c>
      <c r="T632" s="167">
        <v>25285.429912966338</v>
      </c>
      <c r="U632" s="167">
        <v>25333.152966912763</v>
      </c>
      <c r="V632" s="167">
        <v>25386.713993385762</v>
      </c>
      <c r="W632" s="167">
        <v>25544.205485076309</v>
      </c>
      <c r="X632" s="167">
        <v>25756.849158577879</v>
      </c>
      <c r="Y632"/>
      <c r="Z632"/>
      <c r="AA632"/>
      <c r="AB632"/>
      <c r="AC632"/>
      <c r="AD632"/>
      <c r="AE632"/>
      <c r="AF632"/>
      <c r="AG632"/>
    </row>
    <row r="633" spans="1:33" ht="12.75">
      <c r="A633" s="168" t="s">
        <v>34</v>
      </c>
      <c r="B633" s="581">
        <f>NPV(0.1,D633:Y633)</f>
        <v>80346.999617898706</v>
      </c>
      <c r="C633" s="581">
        <f>B633-B622</f>
        <v>-1.341580294421874</v>
      </c>
      <c r="D633" s="585">
        <v>-1914.9422928418139</v>
      </c>
      <c r="E633" s="586">
        <v>3409.2008310826654</v>
      </c>
      <c r="F633" s="586">
        <v>3733.6569336508801</v>
      </c>
      <c r="G633" s="586">
        <v>3983.5594111165819</v>
      </c>
      <c r="H633" s="586">
        <v>7860.7387398597175</v>
      </c>
      <c r="I633" s="586">
        <v>10952.310251087099</v>
      </c>
      <c r="J633" s="586">
        <v>11552.804895618963</v>
      </c>
      <c r="K633" s="586">
        <v>12007.161585179525</v>
      </c>
      <c r="L633" s="586">
        <v>12850.106299397095</v>
      </c>
      <c r="M633" s="586">
        <v>13467.116824614041</v>
      </c>
      <c r="N633" s="586">
        <v>14613.275126467484</v>
      </c>
      <c r="O633" s="587">
        <v>14448.227607398298</v>
      </c>
      <c r="P633" s="167">
        <v>15279.169798946388</v>
      </c>
      <c r="Q633" s="167">
        <v>15681.4864215662</v>
      </c>
      <c r="R633" s="167">
        <v>16075.482056182815</v>
      </c>
      <c r="S633" s="167">
        <v>16460.495418035582</v>
      </c>
      <c r="T633" s="167">
        <v>16856.239622623427</v>
      </c>
      <c r="U633" s="167">
        <v>17412.852924054321</v>
      </c>
      <c r="V633" s="167">
        <v>18022.728991770033</v>
      </c>
      <c r="W633" s="167">
        <v>18656.063508503641</v>
      </c>
      <c r="X633" s="167">
        <v>19324.490483534464</v>
      </c>
      <c r="Y633"/>
      <c r="Z633"/>
      <c r="AA633"/>
      <c r="AB633"/>
      <c r="AC633"/>
      <c r="AD633"/>
      <c r="AE633"/>
      <c r="AF633"/>
      <c r="AG633"/>
    </row>
    <row r="634" spans="1:33" ht="12.75">
      <c r="A634" s="168" t="s">
        <v>31</v>
      </c>
      <c r="B634" s="581">
        <f>NPV(0.1,D634:Y634)</f>
        <v>83999.730579942523</v>
      </c>
      <c r="C634" s="581">
        <f>B634-B623</f>
        <v>-5.8264273682143539</v>
      </c>
      <c r="D634" s="588">
        <v>-5718.3348220110347</v>
      </c>
      <c r="E634" s="589">
        <v>3460.1055701353234</v>
      </c>
      <c r="F634" s="589">
        <v>4742.2154037718919</v>
      </c>
      <c r="G634" s="589">
        <v>3400.5157721374017</v>
      </c>
      <c r="H634" s="589">
        <v>13149.848693178919</v>
      </c>
      <c r="I634" s="589">
        <v>16972.639700422038</v>
      </c>
      <c r="J634" s="589">
        <v>12570.526856530336</v>
      </c>
      <c r="K634" s="589">
        <v>13021.47729793458</v>
      </c>
      <c r="L634" s="589">
        <v>10365.916407335399</v>
      </c>
      <c r="M634" s="589">
        <v>8604.4825373690946</v>
      </c>
      <c r="N634" s="589">
        <v>18471.495381432724</v>
      </c>
      <c r="O634" s="590">
        <v>18457.742295301658</v>
      </c>
      <c r="P634" s="167">
        <v>18439.801671207912</v>
      </c>
      <c r="Q634" s="167">
        <v>18831.504339725281</v>
      </c>
      <c r="R634" s="167">
        <v>19219.794369525145</v>
      </c>
      <c r="S634" s="167">
        <v>17887.688310436664</v>
      </c>
      <c r="T634" s="167">
        <v>13311.187476244868</v>
      </c>
      <c r="U634" s="167">
        <v>12542.129968756561</v>
      </c>
      <c r="V634" s="167">
        <v>11238.756036472276</v>
      </c>
      <c r="W634" s="167">
        <v>10694.507906721059</v>
      </c>
      <c r="X634" s="167">
        <v>22218.646730415712</v>
      </c>
      <c r="Y634"/>
      <c r="Z634"/>
      <c r="AA634"/>
      <c r="AB634"/>
      <c r="AC634"/>
      <c r="AD634"/>
      <c r="AE634"/>
      <c r="AF634"/>
      <c r="AG634"/>
    </row>
    <row r="635" spans="1:33" ht="12.75">
      <c r="A635" s="163"/>
      <c r="B635" s="163"/>
      <c r="C635" s="163"/>
      <c r="D635"/>
      <c r="E635"/>
      <c r="F635"/>
      <c r="G635"/>
      <c r="H635"/>
      <c r="I635"/>
      <c r="J635"/>
      <c r="K635"/>
      <c r="L635"/>
      <c r="M635"/>
      <c r="N635"/>
      <c r="O635"/>
      <c r="P635"/>
      <c r="Q635"/>
      <c r="R635"/>
      <c r="S635"/>
      <c r="T635"/>
      <c r="U635"/>
      <c r="V635"/>
      <c r="W635"/>
      <c r="X635"/>
      <c r="Y635"/>
      <c r="Z635"/>
      <c r="AA635"/>
      <c r="AB635"/>
      <c r="AC635"/>
      <c r="AD635"/>
      <c r="AE635"/>
      <c r="AF635"/>
      <c r="AG635"/>
    </row>
    <row r="636" spans="1:33" ht="12.75">
      <c r="A636" s="163"/>
      <c r="B636" s="163"/>
      <c r="C636" s="163"/>
      <c r="D636"/>
      <c r="E636"/>
      <c r="F636"/>
      <c r="G636"/>
      <c r="H636"/>
      <c r="I636"/>
      <c r="J636"/>
      <c r="K636"/>
      <c r="L636"/>
      <c r="M636"/>
      <c r="N636"/>
      <c r="O636"/>
      <c r="P636"/>
      <c r="Q636"/>
      <c r="R636"/>
      <c r="S636"/>
      <c r="T636"/>
      <c r="U636"/>
      <c r="V636"/>
      <c r="W636"/>
      <c r="X636"/>
      <c r="Y636"/>
      <c r="Z636"/>
      <c r="AA636"/>
      <c r="AB636"/>
      <c r="AC636"/>
      <c r="AD636"/>
      <c r="AE636"/>
      <c r="AF636"/>
      <c r="AG636"/>
    </row>
    <row r="637" spans="1:33" ht="12.75">
      <c r="A637" s="169" t="s">
        <v>701</v>
      </c>
      <c r="B637" s="163"/>
      <c r="C637" s="163"/>
      <c r="D637"/>
      <c r="E637"/>
      <c r="F637"/>
      <c r="G637"/>
      <c r="H637"/>
      <c r="I637"/>
      <c r="J637"/>
      <c r="K637"/>
      <c r="L637"/>
      <c r="M637"/>
      <c r="N637"/>
      <c r="O637"/>
      <c r="P637"/>
      <c r="Q637"/>
      <c r="R637"/>
      <c r="S637"/>
      <c r="T637"/>
      <c r="U637"/>
      <c r="V637"/>
      <c r="W637"/>
      <c r="X637"/>
      <c r="Y637"/>
      <c r="Z637"/>
      <c r="AA637"/>
      <c r="AB637"/>
      <c r="AC637"/>
      <c r="AD637"/>
      <c r="AE637"/>
      <c r="AF637"/>
      <c r="AG637"/>
    </row>
    <row r="638" spans="1:33" ht="12.75">
      <c r="A638" s="416">
        <v>36412</v>
      </c>
      <c r="B638" s="163"/>
      <c r="C638" s="163"/>
      <c r="D638"/>
      <c r="E638"/>
      <c r="F638"/>
      <c r="G638"/>
      <c r="H638"/>
      <c r="I638"/>
      <c r="J638"/>
      <c r="K638"/>
      <c r="L638"/>
      <c r="M638"/>
      <c r="N638"/>
      <c r="O638"/>
      <c r="P638"/>
      <c r="Q638"/>
      <c r="R638"/>
      <c r="S638"/>
      <c r="T638"/>
      <c r="U638"/>
      <c r="V638"/>
      <c r="W638"/>
      <c r="X638"/>
      <c r="Y638"/>
      <c r="Z638"/>
      <c r="AA638"/>
      <c r="AB638"/>
      <c r="AC638"/>
      <c r="AD638"/>
      <c r="AE638"/>
      <c r="AF638"/>
      <c r="AG638"/>
    </row>
    <row r="639" spans="1:33" ht="12.75">
      <c r="A639" s="164" t="s">
        <v>427</v>
      </c>
      <c r="B639" s="172">
        <v>36798.050204931642</v>
      </c>
      <c r="C639" s="163"/>
      <c r="D639"/>
      <c r="E639"/>
      <c r="F639"/>
      <c r="G639"/>
      <c r="H639"/>
      <c r="I639"/>
      <c r="J639"/>
      <c r="K639"/>
      <c r="L639"/>
      <c r="M639"/>
      <c r="N639"/>
      <c r="O639"/>
      <c r="P639"/>
      <c r="Q639"/>
      <c r="R639"/>
      <c r="S639"/>
      <c r="T639"/>
      <c r="U639"/>
      <c r="V639"/>
      <c r="W639"/>
      <c r="X639"/>
      <c r="Y639"/>
      <c r="Z639"/>
      <c r="AA639"/>
      <c r="AB639"/>
      <c r="AC639"/>
      <c r="AD639"/>
      <c r="AE639"/>
      <c r="AF639"/>
      <c r="AG639"/>
    </row>
    <row r="640" spans="1:33" ht="12.75">
      <c r="A640" s="165" t="s">
        <v>428</v>
      </c>
      <c r="B640" s="1174">
        <v>66670.538315061392</v>
      </c>
      <c r="C640" s="163"/>
      <c r="D640"/>
      <c r="E640"/>
      <c r="F640"/>
      <c r="G640"/>
      <c r="H640"/>
      <c r="I640"/>
      <c r="J640"/>
      <c r="K640"/>
      <c r="L640"/>
      <c r="M640"/>
      <c r="N640"/>
      <c r="O640"/>
      <c r="P640"/>
      <c r="Q640"/>
      <c r="R640"/>
      <c r="S640"/>
      <c r="T640"/>
      <c r="U640"/>
      <c r="V640"/>
      <c r="W640"/>
      <c r="X640"/>
      <c r="Y640"/>
      <c r="Z640"/>
      <c r="AA640"/>
      <c r="AB640"/>
      <c r="AC640"/>
      <c r="AD640"/>
      <c r="AE640"/>
      <c r="AF640"/>
      <c r="AG640"/>
    </row>
    <row r="641" spans="1:33" ht="12.75">
      <c r="A641" s="166" t="s">
        <v>429</v>
      </c>
      <c r="B641" s="580" t="s">
        <v>499</v>
      </c>
      <c r="C641" s="580" t="s">
        <v>500</v>
      </c>
      <c r="D641" s="582">
        <v>1999</v>
      </c>
      <c r="E641" s="583">
        <v>2000</v>
      </c>
      <c r="F641" s="583">
        <v>2001</v>
      </c>
      <c r="G641" s="583">
        <v>2002</v>
      </c>
      <c r="H641" s="583">
        <v>2003</v>
      </c>
      <c r="I641" s="583">
        <v>2004</v>
      </c>
      <c r="J641" s="583">
        <v>2005</v>
      </c>
      <c r="K641" s="583">
        <v>2006</v>
      </c>
      <c r="L641" s="583">
        <v>2007</v>
      </c>
      <c r="M641" s="583">
        <v>2008</v>
      </c>
      <c r="N641" s="583">
        <v>2009</v>
      </c>
      <c r="O641" s="584">
        <v>2010</v>
      </c>
      <c r="P641" s="171">
        <v>2011</v>
      </c>
      <c r="Q641" s="171">
        <v>2012</v>
      </c>
      <c r="R641" s="171">
        <v>2013</v>
      </c>
      <c r="S641" s="171">
        <v>2014</v>
      </c>
      <c r="T641" s="171">
        <v>2015</v>
      </c>
      <c r="U641" s="171">
        <v>2016</v>
      </c>
      <c r="V641" s="171">
        <v>2017</v>
      </c>
      <c r="W641" s="171">
        <v>2018</v>
      </c>
      <c r="X641" s="171">
        <v>2019</v>
      </c>
      <c r="Y641"/>
      <c r="Z641"/>
      <c r="AA641"/>
      <c r="AB641"/>
      <c r="AC641"/>
      <c r="AD641"/>
      <c r="AE641"/>
      <c r="AF641"/>
      <c r="AG641"/>
    </row>
    <row r="642" spans="1:33" ht="12.75">
      <c r="A642" s="166" t="s">
        <v>430</v>
      </c>
      <c r="B642" s="581">
        <f>NPV(0.1,D642:Y642)</f>
        <v>418867.16558122361</v>
      </c>
      <c r="C642" s="581">
        <f>B642-B631</f>
        <v>0</v>
      </c>
      <c r="D642" s="585">
        <v>26898.216959999994</v>
      </c>
      <c r="E642" s="586">
        <v>40079.915814977372</v>
      </c>
      <c r="F642" s="586">
        <v>40673.161342217194</v>
      </c>
      <c r="G642" s="586">
        <v>40731.64097768371</v>
      </c>
      <c r="H642" s="586">
        <v>47605.84011425489</v>
      </c>
      <c r="I642" s="586">
        <v>52769.765885234337</v>
      </c>
      <c r="J642" s="586">
        <v>53213.775120657876</v>
      </c>
      <c r="K642" s="586">
        <v>53653.259503785877</v>
      </c>
      <c r="L642" s="586">
        <v>54718.611193040255</v>
      </c>
      <c r="M642" s="586">
        <v>55165.928277364612</v>
      </c>
      <c r="N642" s="586">
        <v>56276.660029826366</v>
      </c>
      <c r="O642" s="587">
        <v>56731.133874277803</v>
      </c>
      <c r="P642" s="167">
        <v>57888.82179464693</v>
      </c>
      <c r="Q642" s="167">
        <v>58349.665078533413</v>
      </c>
      <c r="R642" s="167">
        <v>58802.386402713681</v>
      </c>
      <c r="S642" s="167">
        <v>59246.083690649852</v>
      </c>
      <c r="T642" s="167">
        <v>59679.808050975516</v>
      </c>
      <c r="U642" s="167">
        <v>60102.561780474927</v>
      </c>
      <c r="V642" s="167">
        <v>60513.296289374215</v>
      </c>
      <c r="W642" s="167">
        <v>60910.909946080785</v>
      </c>
      <c r="X642" s="167">
        <v>61294.245838405084</v>
      </c>
      <c r="Y642"/>
      <c r="Z642"/>
      <c r="AA642"/>
      <c r="AB642"/>
      <c r="AC642"/>
      <c r="AD642"/>
      <c r="AE642"/>
      <c r="AF642"/>
      <c r="AG642"/>
    </row>
    <row r="643" spans="1:33" ht="12.75">
      <c r="A643" s="168" t="s">
        <v>431</v>
      </c>
      <c r="B643" s="581">
        <f>NPV(0.1,D643:Y643)</f>
        <v>196860.30723966908</v>
      </c>
      <c r="C643" s="581">
        <f>B643-B632</f>
        <v>0</v>
      </c>
      <c r="D643" s="585">
        <v>18832.90043852941</v>
      </c>
      <c r="E643" s="586">
        <v>20833.869270975509</v>
      </c>
      <c r="F643" s="586">
        <v>21171.777332619145</v>
      </c>
      <c r="G643" s="586">
        <v>21276.585769699974</v>
      </c>
      <c r="H643" s="586">
        <v>22526.071660798054</v>
      </c>
      <c r="I643" s="586">
        <v>23310.802438741255</v>
      </c>
      <c r="J643" s="586">
        <v>23440.505251641694</v>
      </c>
      <c r="K643" s="586">
        <v>23568.985687134467</v>
      </c>
      <c r="L643" s="586">
        <v>23701.810122459603</v>
      </c>
      <c r="M643" s="586">
        <v>23839.108877612063</v>
      </c>
      <c r="N643" s="586">
        <v>23975.576329213607</v>
      </c>
      <c r="O643" s="587">
        <v>24900.129414841329</v>
      </c>
      <c r="P643" s="167">
        <v>24986.394499725935</v>
      </c>
      <c r="Q643" s="167">
        <v>25061.375912075757</v>
      </c>
      <c r="R643" s="167">
        <v>25141.544287401535</v>
      </c>
      <c r="S643" s="167">
        <v>25227.055234592539</v>
      </c>
      <c r="T643" s="167">
        <v>25285.429912966338</v>
      </c>
      <c r="U643" s="167">
        <v>25333.152966912763</v>
      </c>
      <c r="V643" s="167">
        <v>25386.713993385762</v>
      </c>
      <c r="W643" s="167">
        <v>25544.205485076309</v>
      </c>
      <c r="X643" s="167">
        <v>25756.849158577879</v>
      </c>
      <c r="Y643"/>
      <c r="Z643"/>
      <c r="AA643"/>
      <c r="AB643"/>
      <c r="AC643"/>
      <c r="AD643"/>
      <c r="AE643"/>
      <c r="AF643"/>
      <c r="AG643"/>
    </row>
    <row r="644" spans="1:33" ht="12.75">
      <c r="A644" s="168" t="s">
        <v>34</v>
      </c>
      <c r="B644" s="581">
        <f>NPV(0.1,D644:Y644)</f>
        <v>80590.007651863722</v>
      </c>
      <c r="C644" s="581">
        <f>B644-B633</f>
        <v>243.00803396501578</v>
      </c>
      <c r="D644" s="585">
        <v>-1903.1762754563972</v>
      </c>
      <c r="E644" s="586">
        <v>3437.4392728076655</v>
      </c>
      <c r="F644" s="586">
        <v>3761.8953753758797</v>
      </c>
      <c r="G644" s="586">
        <v>4011.797852841582</v>
      </c>
      <c r="H644" s="586">
        <v>7888.9771815847171</v>
      </c>
      <c r="I644" s="586">
        <v>10981.814464895431</v>
      </c>
      <c r="J644" s="586">
        <v>11584.081190343964</v>
      </c>
      <c r="K644" s="586">
        <v>12038.437879904526</v>
      </c>
      <c r="L644" s="586">
        <v>12881.382594122097</v>
      </c>
      <c r="M644" s="586">
        <v>13498.393119339042</v>
      </c>
      <c r="N644" s="586">
        <v>14644.551421192486</v>
      </c>
      <c r="O644" s="587">
        <v>14479.503902123299</v>
      </c>
      <c r="P644" s="167">
        <v>15310.446093671389</v>
      </c>
      <c r="Q644" s="167">
        <v>15712.762716291201</v>
      </c>
      <c r="R644" s="167">
        <v>16106.758350907814</v>
      </c>
      <c r="S644" s="167">
        <v>16491.771712760583</v>
      </c>
      <c r="T644" s="167">
        <v>16887.515917348428</v>
      </c>
      <c r="U644" s="167">
        <v>17444.129218779319</v>
      </c>
      <c r="V644" s="167">
        <v>18054.005286495034</v>
      </c>
      <c r="W644" s="167">
        <v>18687.339803228642</v>
      </c>
      <c r="X644" s="167">
        <v>19355.766778259462</v>
      </c>
      <c r="Y644"/>
      <c r="Z644"/>
      <c r="AA644"/>
      <c r="AB644"/>
      <c r="AC644"/>
      <c r="AD644"/>
      <c r="AE644"/>
      <c r="AF644"/>
      <c r="AG644"/>
    </row>
    <row r="645" spans="1:33" ht="12.75">
      <c r="A645" s="168" t="s">
        <v>31</v>
      </c>
      <c r="B645" s="581">
        <f>NPV(0.1,D645:Y645)</f>
        <v>83716.877539007692</v>
      </c>
      <c r="C645" s="581">
        <f>B645-B634</f>
        <v>-282.85304093483137</v>
      </c>
      <c r="D645" s="588">
        <v>-5718.3348220110347</v>
      </c>
      <c r="E645" s="589">
        <v>3460.1055701353234</v>
      </c>
      <c r="F645" s="589">
        <v>4742.2154037718919</v>
      </c>
      <c r="G645" s="589">
        <v>3400.5157721374017</v>
      </c>
      <c r="H645" s="589">
        <v>13149.848693178919</v>
      </c>
      <c r="I645" s="589">
        <v>16698.483871980283</v>
      </c>
      <c r="J645" s="589">
        <v>12532.425491822836</v>
      </c>
      <c r="K645" s="589">
        <v>12983.311354642829</v>
      </c>
      <c r="L645" s="589">
        <v>10327.815042627897</v>
      </c>
      <c r="M645" s="589">
        <v>8566.3165940773433</v>
      </c>
      <c r="N645" s="589">
        <v>18433.394016725222</v>
      </c>
      <c r="O645" s="590">
        <v>18419.576352009906</v>
      </c>
      <c r="P645" s="167">
        <v>18401.70030650041</v>
      </c>
      <c r="Q645" s="167">
        <v>18793.33839643353</v>
      </c>
      <c r="R645" s="167">
        <v>19181.693004817644</v>
      </c>
      <c r="S645" s="167">
        <v>17868.637628082914</v>
      </c>
      <c r="T645" s="167">
        <v>13311.187476244868</v>
      </c>
      <c r="U645" s="167">
        <v>12542.129968756561</v>
      </c>
      <c r="V645" s="167">
        <v>11238.756036472276</v>
      </c>
      <c r="W645" s="167">
        <v>10694.507906721059</v>
      </c>
      <c r="X645" s="167">
        <v>22218.646730415712</v>
      </c>
      <c r="Y645"/>
      <c r="Z645"/>
      <c r="AA645"/>
      <c r="AB645"/>
      <c r="AC645"/>
      <c r="AD645"/>
      <c r="AE645"/>
      <c r="AF645"/>
      <c r="AG645"/>
    </row>
    <row r="646" spans="1:33" ht="12.75">
      <c r="A646" s="163"/>
      <c r="B646" s="163"/>
      <c r="C646" s="163"/>
      <c r="D646"/>
      <c r="E646"/>
      <c r="F646"/>
      <c r="G646"/>
      <c r="H646"/>
      <c r="I646"/>
      <c r="J646"/>
      <c r="K646"/>
      <c r="L646"/>
      <c r="M646"/>
      <c r="N646"/>
      <c r="O646"/>
      <c r="P646"/>
      <c r="Q646"/>
      <c r="R646"/>
      <c r="S646"/>
      <c r="T646"/>
      <c r="U646"/>
      <c r="V646"/>
      <c r="W646"/>
      <c r="X646"/>
      <c r="Y646"/>
      <c r="Z646"/>
      <c r="AA646"/>
      <c r="AB646"/>
      <c r="AC646"/>
      <c r="AD646"/>
      <c r="AE646"/>
      <c r="AF646"/>
      <c r="AG646"/>
    </row>
    <row r="647" spans="1:33" ht="12.75">
      <c r="A647" s="163"/>
      <c r="B647" s="163"/>
      <c r="C647" s="163"/>
      <c r="D647"/>
      <c r="E647"/>
      <c r="F647"/>
      <c r="G647"/>
      <c r="H647"/>
      <c r="I647"/>
      <c r="J647"/>
      <c r="K647"/>
      <c r="L647"/>
      <c r="M647"/>
      <c r="N647"/>
      <c r="O647"/>
      <c r="P647"/>
      <c r="Q647"/>
      <c r="R647"/>
      <c r="S647"/>
      <c r="T647"/>
      <c r="U647"/>
      <c r="V647"/>
      <c r="W647"/>
      <c r="X647"/>
      <c r="Y647"/>
      <c r="Z647"/>
      <c r="AA647"/>
      <c r="AB647"/>
      <c r="AC647"/>
      <c r="AD647"/>
      <c r="AE647"/>
      <c r="AF647"/>
      <c r="AG647"/>
    </row>
    <row r="648" spans="1:33" ht="12.75">
      <c r="A648" s="169" t="s">
        <v>702</v>
      </c>
      <c r="B648" s="163"/>
      <c r="C648" s="163"/>
      <c r="D648"/>
      <c r="E648"/>
      <c r="F648"/>
      <c r="G648"/>
      <c r="H648"/>
      <c r="I648"/>
      <c r="J648"/>
      <c r="K648"/>
      <c r="L648"/>
      <c r="M648"/>
      <c r="N648"/>
      <c r="O648"/>
      <c r="P648"/>
      <c r="Q648"/>
      <c r="R648"/>
      <c r="S648"/>
      <c r="T648"/>
      <c r="U648"/>
      <c r="V648"/>
      <c r="W648"/>
      <c r="X648"/>
      <c r="Y648"/>
      <c r="Z648"/>
      <c r="AA648"/>
      <c r="AB648"/>
      <c r="AC648"/>
      <c r="AD648"/>
      <c r="AE648"/>
      <c r="AF648"/>
      <c r="AG648"/>
    </row>
    <row r="649" spans="1:33" ht="12.75">
      <c r="A649" s="416">
        <v>36419</v>
      </c>
      <c r="B649" s="163"/>
      <c r="C649" s="163"/>
      <c r="D649"/>
      <c r="E649"/>
      <c r="F649"/>
      <c r="G649"/>
      <c r="H649"/>
      <c r="I649"/>
      <c r="J649"/>
      <c r="K649"/>
      <c r="L649"/>
      <c r="M649"/>
      <c r="N649"/>
      <c r="O649"/>
      <c r="P649"/>
      <c r="Q649"/>
      <c r="R649"/>
      <c r="S649"/>
      <c r="T649"/>
      <c r="U649"/>
      <c r="V649"/>
      <c r="W649"/>
      <c r="X649"/>
      <c r="Y649"/>
      <c r="Z649"/>
      <c r="AA649"/>
      <c r="AB649"/>
      <c r="AC649"/>
      <c r="AD649"/>
      <c r="AE649"/>
      <c r="AF649"/>
      <c r="AG649"/>
    </row>
    <row r="650" spans="1:33" ht="12.75">
      <c r="A650" s="164" t="s">
        <v>427</v>
      </c>
      <c r="B650" s="172">
        <v>36778.988329417647</v>
      </c>
      <c r="C650" s="163"/>
      <c r="D650"/>
      <c r="E650"/>
      <c r="F650"/>
      <c r="G650"/>
      <c r="H650"/>
      <c r="I650"/>
      <c r="J650"/>
      <c r="K650"/>
      <c r="L650"/>
      <c r="M650"/>
      <c r="N650"/>
      <c r="O650"/>
      <c r="P650"/>
      <c r="Q650"/>
      <c r="R650"/>
      <c r="S650"/>
      <c r="T650"/>
      <c r="U650"/>
      <c r="V650"/>
      <c r="W650"/>
      <c r="X650"/>
      <c r="Y650"/>
      <c r="Z650"/>
      <c r="AA650"/>
      <c r="AB650"/>
      <c r="AC650"/>
      <c r="AD650"/>
      <c r="AE650"/>
      <c r="AF650"/>
      <c r="AG650"/>
    </row>
    <row r="651" spans="1:33" ht="12.75">
      <c r="A651" s="165" t="s">
        <v>428</v>
      </c>
      <c r="B651" s="1174">
        <v>66647.406315061409</v>
      </c>
      <c r="C651" s="163"/>
      <c r="D651"/>
      <c r="E651"/>
      <c r="F651"/>
      <c r="G651"/>
      <c r="H651"/>
      <c r="I651"/>
      <c r="J651"/>
      <c r="K651"/>
      <c r="L651"/>
      <c r="M651"/>
      <c r="N651"/>
      <c r="O651"/>
      <c r="P651"/>
      <c r="Q651"/>
      <c r="R651"/>
      <c r="S651"/>
      <c r="T651"/>
      <c r="U651"/>
      <c r="V651"/>
      <c r="W651"/>
      <c r="X651"/>
      <c r="Y651"/>
      <c r="Z651"/>
      <c r="AA651"/>
      <c r="AB651"/>
      <c r="AC651"/>
      <c r="AD651"/>
      <c r="AE651"/>
      <c r="AF651"/>
      <c r="AG651"/>
    </row>
    <row r="652" spans="1:33" ht="12.75">
      <c r="A652" s="166" t="s">
        <v>429</v>
      </c>
      <c r="B652" s="580" t="s">
        <v>499</v>
      </c>
      <c r="C652" s="580" t="s">
        <v>500</v>
      </c>
      <c r="D652" s="582">
        <v>1999</v>
      </c>
      <c r="E652" s="583">
        <v>2000</v>
      </c>
      <c r="F652" s="583">
        <v>2001</v>
      </c>
      <c r="G652" s="583">
        <v>2002</v>
      </c>
      <c r="H652" s="583">
        <v>2003</v>
      </c>
      <c r="I652" s="583">
        <v>2004</v>
      </c>
      <c r="J652" s="583">
        <v>2005</v>
      </c>
      <c r="K652" s="583">
        <v>2006</v>
      </c>
      <c r="L652" s="583">
        <v>2007</v>
      </c>
      <c r="M652" s="583">
        <v>2008</v>
      </c>
      <c r="N652" s="583">
        <v>2009</v>
      </c>
      <c r="O652" s="584">
        <v>2010</v>
      </c>
      <c r="P652" s="171">
        <v>2011</v>
      </c>
      <c r="Q652" s="171">
        <v>2012</v>
      </c>
      <c r="R652" s="171">
        <v>2013</v>
      </c>
      <c r="S652" s="171">
        <v>2014</v>
      </c>
      <c r="T652" s="171">
        <v>2015</v>
      </c>
      <c r="U652" s="171">
        <v>2016</v>
      </c>
      <c r="V652" s="171">
        <v>2017</v>
      </c>
      <c r="W652" s="171">
        <v>2018</v>
      </c>
      <c r="X652" s="171">
        <v>2019</v>
      </c>
      <c r="Y652"/>
      <c r="Z652"/>
      <c r="AA652"/>
      <c r="AB652"/>
      <c r="AC652"/>
      <c r="AD652"/>
      <c r="AE652"/>
      <c r="AF652"/>
      <c r="AG652"/>
    </row>
    <row r="653" spans="1:33" ht="12.75">
      <c r="A653" s="166" t="s">
        <v>430</v>
      </c>
      <c r="B653" s="581">
        <f>NPV(0.1,D653:Y653)</f>
        <v>418867.16558122361</v>
      </c>
      <c r="C653" s="581">
        <f>B653-B642</f>
        <v>0</v>
      </c>
      <c r="D653" s="585">
        <v>26898.216959999994</v>
      </c>
      <c r="E653" s="586">
        <v>40079.915814977372</v>
      </c>
      <c r="F653" s="586">
        <v>40673.161342217194</v>
      </c>
      <c r="G653" s="586">
        <v>40731.64097768371</v>
      </c>
      <c r="H653" s="586">
        <v>47605.84011425489</v>
      </c>
      <c r="I653" s="586">
        <v>52769.765885234337</v>
      </c>
      <c r="J653" s="586">
        <v>53213.775120657876</v>
      </c>
      <c r="K653" s="586">
        <v>53653.259503785877</v>
      </c>
      <c r="L653" s="586">
        <v>54718.611193040255</v>
      </c>
      <c r="M653" s="586">
        <v>55165.928277364612</v>
      </c>
      <c r="N653" s="586">
        <v>56276.660029826366</v>
      </c>
      <c r="O653" s="587">
        <v>56731.133874277803</v>
      </c>
      <c r="P653" s="167">
        <v>57888.82179464693</v>
      </c>
      <c r="Q653" s="167">
        <v>58349.665078533413</v>
      </c>
      <c r="R653" s="167">
        <v>58802.386402713681</v>
      </c>
      <c r="S653" s="167">
        <v>59246.083690649852</v>
      </c>
      <c r="T653" s="167">
        <v>59679.808050975516</v>
      </c>
      <c r="U653" s="167">
        <v>60102.561780474927</v>
      </c>
      <c r="V653" s="167">
        <v>60513.296289374215</v>
      </c>
      <c r="W653" s="167">
        <v>60910.909946080785</v>
      </c>
      <c r="X653" s="167">
        <v>61294.245838405084</v>
      </c>
      <c r="Y653"/>
      <c r="Z653"/>
      <c r="AA653"/>
      <c r="AB653"/>
      <c r="AC653"/>
      <c r="AD653"/>
      <c r="AE653"/>
      <c r="AF653"/>
      <c r="AG653"/>
    </row>
    <row r="654" spans="1:33" ht="12.75">
      <c r="A654" s="168" t="s">
        <v>431</v>
      </c>
      <c r="B654" s="581">
        <f>NPV(0.1,D654:Y654)</f>
        <v>196860.30723966908</v>
      </c>
      <c r="C654" s="581">
        <f>B654-B643</f>
        <v>0</v>
      </c>
      <c r="D654" s="585">
        <v>18832.90043852941</v>
      </c>
      <c r="E654" s="586">
        <v>20833.869270975509</v>
      </c>
      <c r="F654" s="586">
        <v>21171.777332619145</v>
      </c>
      <c r="G654" s="586">
        <v>21276.585769699974</v>
      </c>
      <c r="H654" s="586">
        <v>22526.071660798054</v>
      </c>
      <c r="I654" s="586">
        <v>23310.802438741255</v>
      </c>
      <c r="J654" s="586">
        <v>23440.505251641694</v>
      </c>
      <c r="K654" s="586">
        <v>23568.985687134467</v>
      </c>
      <c r="L654" s="586">
        <v>23701.810122459603</v>
      </c>
      <c r="M654" s="586">
        <v>23839.108877612063</v>
      </c>
      <c r="N654" s="586">
        <v>23975.576329213607</v>
      </c>
      <c r="O654" s="587">
        <v>24900.129414841329</v>
      </c>
      <c r="P654" s="167">
        <v>24986.394499725935</v>
      </c>
      <c r="Q654" s="167">
        <v>25061.375912075757</v>
      </c>
      <c r="R654" s="167">
        <v>25141.544287401535</v>
      </c>
      <c r="S654" s="167">
        <v>25227.055234592539</v>
      </c>
      <c r="T654" s="167">
        <v>25285.429912966338</v>
      </c>
      <c r="U654" s="167">
        <v>25333.152966912763</v>
      </c>
      <c r="V654" s="167">
        <v>25386.713993385762</v>
      </c>
      <c r="W654" s="167">
        <v>25544.205485076309</v>
      </c>
      <c r="X654" s="167">
        <v>25756.849158577879</v>
      </c>
      <c r="Y654"/>
      <c r="Z654"/>
      <c r="AA654"/>
      <c r="AB654"/>
      <c r="AC654"/>
      <c r="AD654"/>
      <c r="AE654"/>
      <c r="AF654"/>
      <c r="AG654"/>
    </row>
    <row r="655" spans="1:33" ht="12.75">
      <c r="A655" s="168" t="s">
        <v>34</v>
      </c>
      <c r="B655" s="581">
        <f>NPV(0.1,D655:Y655)</f>
        <v>80584.032303092885</v>
      </c>
      <c r="C655" s="581">
        <f>B655-B644</f>
        <v>-5.9753487708367174</v>
      </c>
      <c r="D655" s="585">
        <v>-1903.7275743105643</v>
      </c>
      <c r="E655" s="586">
        <v>3436.116155557665</v>
      </c>
      <c r="F655" s="586">
        <v>3760.5722581258797</v>
      </c>
      <c r="G655" s="586">
        <v>4010.4747355915815</v>
      </c>
      <c r="H655" s="586">
        <v>7887.6540643347171</v>
      </c>
      <c r="I655" s="586">
        <v>10980.929875562098</v>
      </c>
      <c r="J655" s="586">
        <v>11583.810540093964</v>
      </c>
      <c r="K655" s="586">
        <v>12038.167229654524</v>
      </c>
      <c r="L655" s="586">
        <v>12881.111943872098</v>
      </c>
      <c r="M655" s="586">
        <v>13498.122469089039</v>
      </c>
      <c r="N655" s="586">
        <v>14644.280770942485</v>
      </c>
      <c r="O655" s="587">
        <v>14479.2332518733</v>
      </c>
      <c r="P655" s="167">
        <v>15310.175443421391</v>
      </c>
      <c r="Q655" s="167">
        <v>15712.492066041201</v>
      </c>
      <c r="R655" s="167">
        <v>16106.487700657819</v>
      </c>
      <c r="S655" s="167">
        <v>16491.501062510586</v>
      </c>
      <c r="T655" s="167">
        <v>16887.245267098428</v>
      </c>
      <c r="U655" s="167">
        <v>17443.858568529322</v>
      </c>
      <c r="V655" s="167">
        <v>18053.734636245033</v>
      </c>
      <c r="W655" s="167">
        <v>18687.069152978642</v>
      </c>
      <c r="X655" s="167">
        <v>19355.496128009465</v>
      </c>
      <c r="Y655"/>
      <c r="Z655"/>
      <c r="AA655"/>
      <c r="AB655"/>
      <c r="AC655"/>
      <c r="AD655"/>
      <c r="AE655"/>
      <c r="AF655"/>
      <c r="AG655"/>
    </row>
    <row r="656" spans="1:33" ht="12.75">
      <c r="A656" s="168" t="s">
        <v>31</v>
      </c>
      <c r="B656" s="581">
        <f>NPV(0.1,D656:Y656)</f>
        <v>83721.211170005045</v>
      </c>
      <c r="C656" s="581">
        <f>B656-B645</f>
        <v>4.3336309973528842</v>
      </c>
      <c r="D656" s="588">
        <v>-5718.3348220110347</v>
      </c>
      <c r="E656" s="589">
        <v>3460.1055701353234</v>
      </c>
      <c r="F656" s="589">
        <v>4742.2154037718919</v>
      </c>
      <c r="G656" s="589">
        <v>3400.5157721374017</v>
      </c>
      <c r="H656" s="589">
        <v>13149.848693178919</v>
      </c>
      <c r="I656" s="589">
        <v>16704.197370487778</v>
      </c>
      <c r="J656" s="589">
        <v>12532.755202997832</v>
      </c>
      <c r="K656" s="589">
        <v>12983.641624650327</v>
      </c>
      <c r="L656" s="589">
        <v>10328.144753802904</v>
      </c>
      <c r="M656" s="589">
        <v>8566.6468640848452</v>
      </c>
      <c r="N656" s="589">
        <v>18433.723727900222</v>
      </c>
      <c r="O656" s="590">
        <v>18419.906622017406</v>
      </c>
      <c r="P656" s="167">
        <v>18402.030017675417</v>
      </c>
      <c r="Q656" s="167">
        <v>18793.668666441023</v>
      </c>
      <c r="R656" s="167">
        <v>19182.022715992647</v>
      </c>
      <c r="S656" s="167">
        <v>17868.802483670413</v>
      </c>
      <c r="T656" s="167">
        <v>13311.187476244868</v>
      </c>
      <c r="U656" s="167">
        <v>12542.129968756561</v>
      </c>
      <c r="V656" s="167">
        <v>11238.756036472274</v>
      </c>
      <c r="W656" s="167">
        <v>10694.507906721059</v>
      </c>
      <c r="X656" s="167">
        <v>22218.646730415712</v>
      </c>
      <c r="Y656"/>
      <c r="Z656"/>
      <c r="AA656"/>
      <c r="AB656"/>
      <c r="AC656"/>
      <c r="AD656"/>
      <c r="AE656"/>
      <c r="AF656"/>
      <c r="AG656"/>
    </row>
    <row r="657" spans="1:33" ht="12.75">
      <c r="A657" s="163"/>
      <c r="B657" s="163"/>
      <c r="C657" s="163"/>
      <c r="D657"/>
      <c r="E657"/>
      <c r="F657"/>
      <c r="G657"/>
      <c r="H657"/>
      <c r="I657"/>
      <c r="J657"/>
      <c r="K657"/>
      <c r="L657"/>
      <c r="M657"/>
      <c r="N657"/>
      <c r="O657"/>
      <c r="P657"/>
      <c r="Q657"/>
      <c r="R657"/>
      <c r="S657"/>
      <c r="T657"/>
      <c r="U657"/>
      <c r="V657"/>
      <c r="W657"/>
      <c r="X657"/>
      <c r="Y657"/>
      <c r="Z657"/>
      <c r="AA657"/>
      <c r="AB657"/>
      <c r="AC657"/>
      <c r="AD657"/>
      <c r="AE657"/>
      <c r="AF657"/>
      <c r="AG657"/>
    </row>
    <row r="658" spans="1:33" ht="12.75">
      <c r="A658" s="163"/>
      <c r="B658" s="163"/>
      <c r="C658" s="163"/>
      <c r="D658"/>
      <c r="E658"/>
      <c r="F658"/>
      <c r="G658"/>
      <c r="H658"/>
      <c r="I658"/>
      <c r="J658"/>
      <c r="K658"/>
      <c r="L658"/>
      <c r="M658"/>
      <c r="N658"/>
      <c r="O658"/>
      <c r="P658"/>
      <c r="Q658"/>
      <c r="R658"/>
      <c r="S658"/>
      <c r="T658"/>
      <c r="U658"/>
      <c r="V658"/>
      <c r="W658"/>
      <c r="X658"/>
      <c r="Y658"/>
      <c r="Z658"/>
      <c r="AA658"/>
      <c r="AB658"/>
      <c r="AC658"/>
      <c r="AD658"/>
      <c r="AE658"/>
      <c r="AF658"/>
      <c r="AG658"/>
    </row>
    <row r="659" spans="1:33" ht="12.75">
      <c r="A659" s="169" t="s">
        <v>703</v>
      </c>
      <c r="B659" s="163"/>
      <c r="C659" s="163"/>
      <c r="D659"/>
      <c r="E659"/>
      <c r="F659"/>
      <c r="G659"/>
      <c r="H659"/>
      <c r="I659"/>
      <c r="J659"/>
      <c r="K659"/>
      <c r="L659"/>
      <c r="M659"/>
      <c r="N659"/>
      <c r="O659"/>
      <c r="P659"/>
      <c r="Q659"/>
      <c r="R659"/>
      <c r="S659"/>
      <c r="T659"/>
      <c r="U659"/>
      <c r="V659"/>
      <c r="W659"/>
      <c r="X659"/>
      <c r="Y659"/>
      <c r="Z659"/>
      <c r="AA659"/>
      <c r="AB659"/>
      <c r="AC659"/>
      <c r="AD659"/>
      <c r="AE659"/>
      <c r="AF659"/>
      <c r="AG659"/>
    </row>
    <row r="660" spans="1:33" ht="12.75">
      <c r="A660" s="416">
        <v>36426</v>
      </c>
      <c r="B660" s="163"/>
      <c r="C660" s="163"/>
      <c r="D660"/>
      <c r="E660"/>
      <c r="F660"/>
      <c r="G660"/>
      <c r="H660"/>
      <c r="I660"/>
      <c r="J660"/>
      <c r="K660"/>
      <c r="L660"/>
      <c r="M660"/>
      <c r="N660"/>
      <c r="O660"/>
      <c r="P660"/>
      <c r="Q660"/>
      <c r="R660"/>
      <c r="S660"/>
      <c r="T660"/>
      <c r="U660"/>
      <c r="V660"/>
      <c r="W660"/>
      <c r="X660"/>
      <c r="Y660"/>
      <c r="Z660"/>
      <c r="AA660"/>
      <c r="AB660"/>
      <c r="AC660"/>
      <c r="AD660"/>
      <c r="AE660"/>
      <c r="AF660"/>
      <c r="AG660"/>
    </row>
    <row r="661" spans="1:33" ht="12.75">
      <c r="A661" s="164" t="s">
        <v>427</v>
      </c>
      <c r="B661" s="172">
        <v>36761.204145223513</v>
      </c>
      <c r="C661" s="163"/>
      <c r="D661"/>
      <c r="E661"/>
      <c r="F661"/>
      <c r="G661"/>
      <c r="H661"/>
      <c r="I661"/>
      <c r="J661"/>
      <c r="K661"/>
      <c r="L661"/>
      <c r="M661"/>
      <c r="N661"/>
      <c r="O661"/>
      <c r="P661"/>
      <c r="Q661"/>
      <c r="R661"/>
      <c r="S661"/>
      <c r="T661"/>
      <c r="U661"/>
      <c r="V661"/>
      <c r="W661"/>
      <c r="X661"/>
      <c r="Y661"/>
      <c r="Z661"/>
      <c r="AA661"/>
      <c r="AB661"/>
      <c r="AC661"/>
      <c r="AD661"/>
      <c r="AE661"/>
      <c r="AF661"/>
      <c r="AG661"/>
    </row>
    <row r="662" spans="1:33" ht="12.75">
      <c r="A662" s="165" t="s">
        <v>428</v>
      </c>
      <c r="B662" s="1174">
        <v>66623.630691388244</v>
      </c>
      <c r="C662" s="163"/>
      <c r="D662"/>
      <c r="E662"/>
      <c r="F662"/>
      <c r="G662"/>
      <c r="H662"/>
      <c r="I662"/>
      <c r="J662"/>
      <c r="K662"/>
      <c r="L662"/>
      <c r="M662"/>
      <c r="N662"/>
      <c r="O662"/>
      <c r="P662"/>
      <c r="Q662"/>
      <c r="R662"/>
      <c r="S662"/>
      <c r="T662"/>
      <c r="U662"/>
      <c r="V662"/>
      <c r="W662"/>
      <c r="X662"/>
      <c r="Y662"/>
      <c r="Z662"/>
      <c r="AA662"/>
      <c r="AB662"/>
      <c r="AC662"/>
      <c r="AD662"/>
      <c r="AE662"/>
      <c r="AF662"/>
      <c r="AG662"/>
    </row>
    <row r="663" spans="1:33" ht="12.75">
      <c r="A663" s="166" t="s">
        <v>429</v>
      </c>
      <c r="B663" s="580" t="s">
        <v>499</v>
      </c>
      <c r="C663" s="580" t="s">
        <v>500</v>
      </c>
      <c r="D663" s="582">
        <v>1999</v>
      </c>
      <c r="E663" s="583">
        <v>2000</v>
      </c>
      <c r="F663" s="583">
        <v>2001</v>
      </c>
      <c r="G663" s="583">
        <v>2002</v>
      </c>
      <c r="H663" s="583">
        <v>2003</v>
      </c>
      <c r="I663" s="583">
        <v>2004</v>
      </c>
      <c r="J663" s="583">
        <v>2005</v>
      </c>
      <c r="K663" s="583">
        <v>2006</v>
      </c>
      <c r="L663" s="583">
        <v>2007</v>
      </c>
      <c r="M663" s="583">
        <v>2008</v>
      </c>
      <c r="N663" s="583">
        <v>2009</v>
      </c>
      <c r="O663" s="584">
        <v>2010</v>
      </c>
      <c r="P663" s="171">
        <v>2011</v>
      </c>
      <c r="Q663" s="171">
        <v>2012</v>
      </c>
      <c r="R663" s="171">
        <v>2013</v>
      </c>
      <c r="S663" s="171">
        <v>2014</v>
      </c>
      <c r="T663" s="171">
        <v>2015</v>
      </c>
      <c r="U663" s="171">
        <v>2016</v>
      </c>
      <c r="V663" s="171">
        <v>2017</v>
      </c>
      <c r="W663" s="171">
        <v>2018</v>
      </c>
      <c r="X663" s="171">
        <v>2019</v>
      </c>
      <c r="Y663"/>
      <c r="Z663"/>
      <c r="AA663"/>
      <c r="AB663"/>
      <c r="AC663"/>
      <c r="AD663"/>
      <c r="AE663"/>
      <c r="AF663"/>
      <c r="AG663"/>
    </row>
    <row r="664" spans="1:33" ht="12.75">
      <c r="A664" s="166" t="s">
        <v>430</v>
      </c>
      <c r="B664" s="581">
        <f>NPV(0.1,D664:Y664)</f>
        <v>418867.16558122361</v>
      </c>
      <c r="C664" s="581">
        <f>B664-B653</f>
        <v>0</v>
      </c>
      <c r="D664" s="585">
        <v>26898.216959999994</v>
      </c>
      <c r="E664" s="586">
        <v>40079.915814977372</v>
      </c>
      <c r="F664" s="586">
        <v>40673.161342217194</v>
      </c>
      <c r="G664" s="586">
        <v>40731.64097768371</v>
      </c>
      <c r="H664" s="586">
        <v>47605.84011425489</v>
      </c>
      <c r="I664" s="586">
        <v>52769.765885234337</v>
      </c>
      <c r="J664" s="586">
        <v>53213.775120657876</v>
      </c>
      <c r="K664" s="586">
        <v>53653.259503785877</v>
      </c>
      <c r="L664" s="586">
        <v>54718.611193040255</v>
      </c>
      <c r="M664" s="586">
        <v>55165.928277364612</v>
      </c>
      <c r="N664" s="586">
        <v>56276.660029826366</v>
      </c>
      <c r="O664" s="587">
        <v>56731.133874277803</v>
      </c>
      <c r="P664" s="167">
        <v>57888.82179464693</v>
      </c>
      <c r="Q664" s="167">
        <v>58349.665078533413</v>
      </c>
      <c r="R664" s="167">
        <v>58802.386402713681</v>
      </c>
      <c r="S664" s="167">
        <v>59246.083690649852</v>
      </c>
      <c r="T664" s="167">
        <v>59679.808050975516</v>
      </c>
      <c r="U664" s="167">
        <v>60102.561780474927</v>
      </c>
      <c r="V664" s="167">
        <v>60513.296289374215</v>
      </c>
      <c r="W664" s="167">
        <v>60910.909946080785</v>
      </c>
      <c r="X664" s="167">
        <v>61294.245838405084</v>
      </c>
      <c r="Y664"/>
      <c r="Z664"/>
      <c r="AA664"/>
      <c r="AB664"/>
      <c r="AC664"/>
      <c r="AD664"/>
      <c r="AE664"/>
      <c r="AF664"/>
      <c r="AG664"/>
    </row>
    <row r="665" spans="1:33" ht="12.75">
      <c r="A665" s="168" t="s">
        <v>431</v>
      </c>
      <c r="B665" s="581">
        <f>NPV(0.1,D665:Y665)</f>
        <v>196859.28644348239</v>
      </c>
      <c r="C665" s="581">
        <f>B665-B654</f>
        <v>-1.020796186698135</v>
      </c>
      <c r="D665" s="585">
        <v>18832.90043852941</v>
      </c>
      <c r="E665" s="586">
        <v>20833.746597600508</v>
      </c>
      <c r="F665" s="586">
        <v>21171.657137494145</v>
      </c>
      <c r="G665" s="586">
        <v>21276.468052824974</v>
      </c>
      <c r="H665" s="586">
        <v>22525.956422173054</v>
      </c>
      <c r="I665" s="586">
        <v>23310.689678366256</v>
      </c>
      <c r="J665" s="586">
        <v>23440.394969516696</v>
      </c>
      <c r="K665" s="586">
        <v>23568.879122384467</v>
      </c>
      <c r="L665" s="586">
        <v>23701.707275084602</v>
      </c>
      <c r="M665" s="586">
        <v>23839.009747612065</v>
      </c>
      <c r="N665" s="586">
        <v>23975.482155713609</v>
      </c>
      <c r="O665" s="587">
        <v>24899.861763841327</v>
      </c>
      <c r="P665" s="167">
        <v>24986.145435600934</v>
      </c>
      <c r="Q665" s="167">
        <v>25061.149152200756</v>
      </c>
      <c r="R665" s="167">
        <v>25141.339831776539</v>
      </c>
      <c r="S665" s="167">
        <v>25226.873083217539</v>
      </c>
      <c r="T665" s="167">
        <v>25285.277500591339</v>
      </c>
      <c r="U665" s="167">
        <v>25333.034010912765</v>
      </c>
      <c r="V665" s="167">
        <v>25386.628493760763</v>
      </c>
      <c r="W665" s="167">
        <v>25544.131137576311</v>
      </c>
      <c r="X665" s="167">
        <v>25756.774811077881</v>
      </c>
      <c r="Y665"/>
      <c r="Z665"/>
      <c r="AA665"/>
      <c r="AB665"/>
      <c r="AC665"/>
      <c r="AD665"/>
      <c r="AE665"/>
      <c r="AF665"/>
      <c r="AG665"/>
    </row>
    <row r="666" spans="1:33" ht="12.75">
      <c r="A666" s="168" t="s">
        <v>34</v>
      </c>
      <c r="B666" s="581">
        <f>NPV(0.1,D666:Y666)</f>
        <v>80578.212360019403</v>
      </c>
      <c r="C666" s="581">
        <f>B666-B655</f>
        <v>-5.8199430734821362</v>
      </c>
      <c r="D666" s="585">
        <v>-1904.7206172272311</v>
      </c>
      <c r="E666" s="586">
        <v>3433.8095502518418</v>
      </c>
      <c r="F666" s="586">
        <v>3758.2641033716882</v>
      </c>
      <c r="G666" s="586">
        <v>4008.1650313890232</v>
      </c>
      <c r="H666" s="586">
        <v>7885.34281068379</v>
      </c>
      <c r="I666" s="586">
        <v>10979.803084129471</v>
      </c>
      <c r="J666" s="586">
        <v>11584.342615546302</v>
      </c>
      <c r="K666" s="586">
        <v>12038.696980934315</v>
      </c>
      <c r="L666" s="586">
        <v>12881.639370979337</v>
      </c>
      <c r="M666" s="586">
        <v>13498.647572023729</v>
      </c>
      <c r="N666" s="586">
        <v>14644.802774980437</v>
      </c>
      <c r="O666" s="587">
        <v>14479.863717296957</v>
      </c>
      <c r="P666" s="167">
        <v>15310.794287982291</v>
      </c>
      <c r="Q666" s="167">
        <v>15713.096965566798</v>
      </c>
      <c r="R666" s="167">
        <v>16107.078655148109</v>
      </c>
      <c r="S666" s="167">
        <v>16492.07807196557</v>
      </c>
      <c r="T666" s="167">
        <v>16887.803683173013</v>
      </c>
      <c r="U666" s="167">
        <v>17444.396067050948</v>
      </c>
      <c r="V666" s="167">
        <v>18054.251217213699</v>
      </c>
      <c r="W666" s="167">
        <v>18687.578761429657</v>
      </c>
      <c r="X666" s="167">
        <v>19356.005736460484</v>
      </c>
      <c r="Y666"/>
      <c r="Z666"/>
      <c r="AA666"/>
      <c r="AB666"/>
      <c r="AC666"/>
      <c r="AD666"/>
      <c r="AE666"/>
      <c r="AF666"/>
      <c r="AG666"/>
    </row>
    <row r="667" spans="1:33" ht="12.75">
      <c r="A667" s="168" t="s">
        <v>31</v>
      </c>
      <c r="B667" s="581">
        <f>NPV(0.1,D667:Y667)</f>
        <v>83722.485847412318</v>
      </c>
      <c r="C667" s="581">
        <f>B667-B656</f>
        <v>1.274677407272975</v>
      </c>
      <c r="D667" s="588">
        <v>-5718.3348220110347</v>
      </c>
      <c r="E667" s="589">
        <v>3460.107103552511</v>
      </c>
      <c r="F667" s="589">
        <v>4742.3395795859524</v>
      </c>
      <c r="G667" s="589">
        <v>3400.6374387233373</v>
      </c>
      <c r="H667" s="589">
        <v>13149.96785053673</v>
      </c>
      <c r="I667" s="589">
        <v>16708.70303717499</v>
      </c>
      <c r="J667" s="589">
        <v>12532.262444200172</v>
      </c>
      <c r="K667" s="589">
        <v>12983.146824555115</v>
      </c>
      <c r="L667" s="589">
        <v>10327.648585785142</v>
      </c>
      <c r="M667" s="589">
        <v>8566.1474156445347</v>
      </c>
      <c r="N667" s="589">
        <v>18433.223375938171</v>
      </c>
      <c r="O667" s="590">
        <v>18419.335341191058</v>
      </c>
      <c r="P667" s="167">
        <v>18401.640136611317</v>
      </c>
      <c r="Q667" s="167">
        <v>18793.267601466618</v>
      </c>
      <c r="R667" s="167">
        <v>19181.608662232939</v>
      </c>
      <c r="S667" s="167">
        <v>17868.6565786254</v>
      </c>
      <c r="T667" s="167">
        <v>13311.312506319451</v>
      </c>
      <c r="U667" s="167">
        <v>12542.237798653186</v>
      </c>
      <c r="V667" s="167">
        <v>11238.842948815935</v>
      </c>
      <c r="W667" s="167">
        <v>10694.565542297078</v>
      </c>
      <c r="X667" s="167">
        <v>22218.693213866733</v>
      </c>
      <c r="Y667"/>
      <c r="Z667"/>
      <c r="AA667"/>
      <c r="AB667"/>
      <c r="AC667"/>
      <c r="AD667"/>
      <c r="AE667"/>
      <c r="AF667"/>
      <c r="AG667"/>
    </row>
    <row r="668" spans="1:33" ht="12.75">
      <c r="A668" s="163"/>
      <c r="B668" s="163"/>
      <c r="C668" s="163"/>
      <c r="D668"/>
      <c r="E668"/>
      <c r="F668"/>
      <c r="G668"/>
      <c r="H668"/>
      <c r="I668"/>
      <c r="J668"/>
      <c r="K668"/>
      <c r="L668"/>
      <c r="M668"/>
      <c r="N668"/>
      <c r="O668"/>
      <c r="P668"/>
      <c r="Q668"/>
      <c r="R668"/>
      <c r="S668"/>
      <c r="T668"/>
      <c r="U668"/>
      <c r="V668"/>
      <c r="W668"/>
      <c r="X668"/>
      <c r="Y668"/>
      <c r="Z668"/>
      <c r="AA668"/>
      <c r="AB668"/>
      <c r="AC668"/>
      <c r="AD668"/>
      <c r="AE668"/>
      <c r="AF668"/>
      <c r="AG668"/>
    </row>
    <row r="669" spans="1:33" ht="12.75">
      <c r="A669" s="163"/>
      <c r="B669" s="163"/>
      <c r="C669" s="163"/>
      <c r="D669"/>
      <c r="E669"/>
      <c r="F669"/>
      <c r="G669"/>
      <c r="H669"/>
      <c r="I669"/>
      <c r="J669"/>
      <c r="K669"/>
      <c r="L669"/>
      <c r="M669"/>
      <c r="N669"/>
      <c r="O669"/>
      <c r="P669"/>
      <c r="Q669"/>
      <c r="R669"/>
      <c r="S669"/>
      <c r="T669"/>
      <c r="U669"/>
      <c r="V669"/>
      <c r="W669"/>
      <c r="X669"/>
      <c r="Y669"/>
      <c r="Z669"/>
      <c r="AA669"/>
      <c r="AB669"/>
      <c r="AC669"/>
      <c r="AD669"/>
      <c r="AE669"/>
      <c r="AF669"/>
      <c r="AG669"/>
    </row>
    <row r="670" spans="1:33" ht="12.75">
      <c r="A670" s="169" t="s">
        <v>704</v>
      </c>
      <c r="B670" s="163"/>
      <c r="C670" s="163"/>
      <c r="D670"/>
      <c r="E670"/>
      <c r="F670"/>
      <c r="G670"/>
      <c r="H670"/>
      <c r="I670"/>
      <c r="J670"/>
      <c r="K670"/>
      <c r="L670"/>
      <c r="M670"/>
      <c r="N670"/>
      <c r="O670"/>
      <c r="P670"/>
      <c r="Q670"/>
      <c r="R670"/>
      <c r="S670"/>
      <c r="T670"/>
      <c r="U670"/>
      <c r="V670"/>
      <c r="W670"/>
      <c r="X670"/>
      <c r="Y670"/>
      <c r="Z670"/>
      <c r="AA670"/>
      <c r="AB670"/>
      <c r="AC670"/>
      <c r="AD670"/>
      <c r="AE670"/>
      <c r="AF670"/>
      <c r="AG670"/>
    </row>
    <row r="671" spans="1:33" ht="12.75">
      <c r="A671" s="416">
        <v>36433</v>
      </c>
      <c r="B671" s="163"/>
      <c r="C671" s="163"/>
      <c r="D671"/>
      <c r="E671"/>
      <c r="F671"/>
      <c r="G671"/>
      <c r="H671"/>
      <c r="I671"/>
      <c r="J671"/>
      <c r="K671"/>
      <c r="L671"/>
      <c r="M671"/>
      <c r="N671"/>
      <c r="O671"/>
      <c r="P671"/>
      <c r="Q671"/>
      <c r="R671"/>
      <c r="S671"/>
      <c r="T671"/>
      <c r="U671"/>
      <c r="V671"/>
      <c r="W671"/>
      <c r="X671"/>
      <c r="Y671"/>
      <c r="Z671"/>
      <c r="AA671"/>
      <c r="AB671"/>
      <c r="AC671"/>
      <c r="AD671"/>
      <c r="AE671"/>
      <c r="AF671"/>
      <c r="AG671"/>
    </row>
    <row r="672" spans="1:33" ht="12.75">
      <c r="A672" s="164" t="s">
        <v>427</v>
      </c>
      <c r="B672" s="172">
        <v>36761.204145223513</v>
      </c>
      <c r="C672" s="163"/>
      <c r="D672"/>
      <c r="E672"/>
      <c r="F672"/>
      <c r="G672"/>
      <c r="H672"/>
      <c r="I672"/>
      <c r="J672"/>
      <c r="K672"/>
      <c r="L672"/>
      <c r="M672"/>
      <c r="N672"/>
      <c r="O672"/>
      <c r="P672"/>
      <c r="Q672"/>
      <c r="R672"/>
      <c r="S672"/>
      <c r="T672"/>
      <c r="U672"/>
      <c r="V672"/>
      <c r="W672"/>
      <c r="X672"/>
      <c r="Y672"/>
      <c r="Z672"/>
      <c r="AA672"/>
      <c r="AB672"/>
      <c r="AC672"/>
      <c r="AD672"/>
      <c r="AE672"/>
      <c r="AF672"/>
      <c r="AG672"/>
    </row>
    <row r="673" spans="1:33" ht="12.75">
      <c r="A673" s="165" t="s">
        <v>428</v>
      </c>
      <c r="B673" s="1174">
        <v>66623.630691388244</v>
      </c>
      <c r="C673" s="163"/>
      <c r="D673"/>
      <c r="E673"/>
      <c r="F673"/>
      <c r="G673"/>
      <c r="H673"/>
      <c r="I673"/>
      <c r="J673"/>
      <c r="K673"/>
      <c r="L673"/>
      <c r="M673"/>
      <c r="N673"/>
      <c r="O673"/>
      <c r="P673"/>
      <c r="Q673"/>
      <c r="R673"/>
      <c r="S673"/>
      <c r="T673"/>
      <c r="U673"/>
      <c r="V673"/>
      <c r="W673"/>
      <c r="X673"/>
      <c r="Y673"/>
      <c r="Z673"/>
      <c r="AA673"/>
      <c r="AB673"/>
      <c r="AC673"/>
      <c r="AD673"/>
      <c r="AE673"/>
      <c r="AF673"/>
      <c r="AG673"/>
    </row>
    <row r="674" spans="1:33" ht="12.75">
      <c r="A674" s="166" t="s">
        <v>429</v>
      </c>
      <c r="B674" s="580" t="s">
        <v>499</v>
      </c>
      <c r="C674" s="580" t="s">
        <v>500</v>
      </c>
      <c r="D674" s="582">
        <v>1999</v>
      </c>
      <c r="E674" s="583">
        <v>2000</v>
      </c>
      <c r="F674" s="583">
        <v>2001</v>
      </c>
      <c r="G674" s="583">
        <v>2002</v>
      </c>
      <c r="H674" s="583">
        <v>2003</v>
      </c>
      <c r="I674" s="583">
        <v>2004</v>
      </c>
      <c r="J674" s="583">
        <v>2005</v>
      </c>
      <c r="K674" s="583">
        <v>2006</v>
      </c>
      <c r="L674" s="583">
        <v>2007</v>
      </c>
      <c r="M674" s="583">
        <v>2008</v>
      </c>
      <c r="N674" s="583">
        <v>2009</v>
      </c>
      <c r="O674" s="584">
        <v>2010</v>
      </c>
      <c r="P674" s="171">
        <v>2011</v>
      </c>
      <c r="Q674" s="171">
        <v>2012</v>
      </c>
      <c r="R674" s="171">
        <v>2013</v>
      </c>
      <c r="S674" s="171">
        <v>2014</v>
      </c>
      <c r="T674" s="171">
        <v>2015</v>
      </c>
      <c r="U674" s="171">
        <v>2016</v>
      </c>
      <c r="V674" s="171">
        <v>2017</v>
      </c>
      <c r="W674" s="171">
        <v>2018</v>
      </c>
      <c r="X674" s="171">
        <v>2019</v>
      </c>
      <c r="Y674"/>
      <c r="Z674"/>
      <c r="AA674"/>
      <c r="AB674"/>
      <c r="AC674"/>
      <c r="AD674"/>
      <c r="AE674"/>
      <c r="AF674"/>
      <c r="AG674"/>
    </row>
    <row r="675" spans="1:33" ht="12.75">
      <c r="A675" s="166" t="s">
        <v>430</v>
      </c>
      <c r="B675" s="581">
        <f>NPV(0.1,D675:Y675)</f>
        <v>418867.16558122361</v>
      </c>
      <c r="C675" s="581">
        <f>B675-B664</f>
        <v>0</v>
      </c>
      <c r="D675" s="585">
        <v>26898.216959999994</v>
      </c>
      <c r="E675" s="586">
        <v>40079.915814977372</v>
      </c>
      <c r="F675" s="586">
        <v>40673.161342217194</v>
      </c>
      <c r="G675" s="586">
        <v>40731.64097768371</v>
      </c>
      <c r="H675" s="586">
        <v>47605.84011425489</v>
      </c>
      <c r="I675" s="586">
        <v>52769.765885234337</v>
      </c>
      <c r="J675" s="586">
        <v>53213.775120657876</v>
      </c>
      <c r="K675" s="586">
        <v>53653.259503785877</v>
      </c>
      <c r="L675" s="586">
        <v>54718.611193040255</v>
      </c>
      <c r="M675" s="586">
        <v>55165.928277364612</v>
      </c>
      <c r="N675" s="586">
        <v>56276.660029826366</v>
      </c>
      <c r="O675" s="587">
        <v>56731.133874277803</v>
      </c>
      <c r="P675" s="167">
        <v>57888.82179464693</v>
      </c>
      <c r="Q675" s="167">
        <v>58349.665078533413</v>
      </c>
      <c r="R675" s="167">
        <v>58802.386402713681</v>
      </c>
      <c r="S675" s="167">
        <v>59246.083690649852</v>
      </c>
      <c r="T675" s="167">
        <v>59679.808050975516</v>
      </c>
      <c r="U675" s="167">
        <v>60102.561780474927</v>
      </c>
      <c r="V675" s="167">
        <v>60513.296289374215</v>
      </c>
      <c r="W675" s="167">
        <v>60910.909946080785</v>
      </c>
      <c r="X675" s="167">
        <v>61294.245838405084</v>
      </c>
      <c r="Y675"/>
      <c r="Z675"/>
      <c r="AA675"/>
      <c r="AB675"/>
      <c r="AC675"/>
      <c r="AD675"/>
      <c r="AE675"/>
      <c r="AF675"/>
      <c r="AG675"/>
    </row>
    <row r="676" spans="1:33" ht="12.75">
      <c r="A676" s="168" t="s">
        <v>431</v>
      </c>
      <c r="B676" s="581">
        <f>NPV(0.1,D676:Y676)</f>
        <v>196859.28644348239</v>
      </c>
      <c r="C676" s="581">
        <f>B676-B665</f>
        <v>0</v>
      </c>
      <c r="D676" s="585">
        <v>18832.90043852941</v>
      </c>
      <c r="E676" s="586">
        <v>20833.746597600508</v>
      </c>
      <c r="F676" s="586">
        <v>21171.657137494145</v>
      </c>
      <c r="G676" s="586">
        <v>21276.468052824974</v>
      </c>
      <c r="H676" s="586">
        <v>22525.956422173054</v>
      </c>
      <c r="I676" s="586">
        <v>23310.689678366256</v>
      </c>
      <c r="J676" s="586">
        <v>23440.394969516696</v>
      </c>
      <c r="K676" s="586">
        <v>23568.879122384467</v>
      </c>
      <c r="L676" s="586">
        <v>23701.707275084602</v>
      </c>
      <c r="M676" s="586">
        <v>23839.009747612065</v>
      </c>
      <c r="N676" s="586">
        <v>23975.482155713609</v>
      </c>
      <c r="O676" s="587">
        <v>24899.861763841327</v>
      </c>
      <c r="P676" s="167">
        <v>24986.145435600934</v>
      </c>
      <c r="Q676" s="167">
        <v>25061.149152200756</v>
      </c>
      <c r="R676" s="167">
        <v>25141.339831776539</v>
      </c>
      <c r="S676" s="167">
        <v>25226.873083217539</v>
      </c>
      <c r="T676" s="167">
        <v>25285.277500591339</v>
      </c>
      <c r="U676" s="167">
        <v>25333.034010912765</v>
      </c>
      <c r="V676" s="167">
        <v>25386.628493760763</v>
      </c>
      <c r="W676" s="167">
        <v>25544.131137576311</v>
      </c>
      <c r="X676" s="167">
        <v>25756.774811077881</v>
      </c>
      <c r="Y676"/>
      <c r="Z676"/>
      <c r="AA676"/>
      <c r="AB676"/>
      <c r="AC676"/>
      <c r="AD676"/>
      <c r="AE676"/>
      <c r="AF676"/>
      <c r="AG676"/>
    </row>
    <row r="677" spans="1:33" ht="12.75">
      <c r="A677" s="168" t="s">
        <v>34</v>
      </c>
      <c r="B677" s="581">
        <f>NPV(0.1,D677:Y677)</f>
        <v>80566.436042201196</v>
      </c>
      <c r="C677" s="581">
        <f>B677-B666</f>
        <v>-11.776317818206735</v>
      </c>
      <c r="D677" s="585">
        <v>-1906.0875049355636</v>
      </c>
      <c r="E677" s="586">
        <v>3430.529019751842</v>
      </c>
      <c r="F677" s="586">
        <v>3754.9835728716885</v>
      </c>
      <c r="G677" s="586">
        <v>4004.8845008890235</v>
      </c>
      <c r="H677" s="586">
        <v>7882.062280183789</v>
      </c>
      <c r="I677" s="586">
        <v>10977.889441337804</v>
      </c>
      <c r="J677" s="586">
        <v>11584.342615546302</v>
      </c>
      <c r="K677" s="586">
        <v>12038.696980934315</v>
      </c>
      <c r="L677" s="586">
        <v>12881.639370979337</v>
      </c>
      <c r="M677" s="586">
        <v>13498.647572023729</v>
      </c>
      <c r="N677" s="586">
        <v>14644.802774980437</v>
      </c>
      <c r="O677" s="587">
        <v>14479.863717296957</v>
      </c>
      <c r="P677" s="167">
        <v>15310.794287982291</v>
      </c>
      <c r="Q677" s="167">
        <v>15713.096965566798</v>
      </c>
      <c r="R677" s="167">
        <v>16107.078655148109</v>
      </c>
      <c r="S677" s="167">
        <v>16492.07807196557</v>
      </c>
      <c r="T677" s="167">
        <v>16887.803683173013</v>
      </c>
      <c r="U677" s="167">
        <v>17444.396067050948</v>
      </c>
      <c r="V677" s="167">
        <v>18054.251217213699</v>
      </c>
      <c r="W677" s="167">
        <v>18687.578761429657</v>
      </c>
      <c r="X677" s="167">
        <v>19356.005736460484</v>
      </c>
      <c r="Y677"/>
      <c r="Z677"/>
      <c r="AA677"/>
      <c r="AB677"/>
      <c r="AC677"/>
      <c r="AD677"/>
      <c r="AE677"/>
      <c r="AF677"/>
      <c r="AG677"/>
    </row>
    <row r="678" spans="1:33" ht="12.75">
      <c r="A678" s="168" t="s">
        <v>31</v>
      </c>
      <c r="B678" s="581">
        <f>NPV(0.1,D678:Y678)</f>
        <v>83728.221098696362</v>
      </c>
      <c r="C678" s="581">
        <f>B678-B667</f>
        <v>5.7352512840443524</v>
      </c>
      <c r="D678" s="588">
        <v>-5718.3348220110347</v>
      </c>
      <c r="E678" s="589">
        <v>3460.107103552511</v>
      </c>
      <c r="F678" s="589">
        <v>4742.339579585956</v>
      </c>
      <c r="G678" s="589">
        <v>3400.6374387233409</v>
      </c>
      <c r="H678" s="589">
        <v>13149.967850536726</v>
      </c>
      <c r="I678" s="589">
        <v>16718.863384674991</v>
      </c>
      <c r="J678" s="589">
        <v>12532.262444200172</v>
      </c>
      <c r="K678" s="589">
        <v>12983.146824555115</v>
      </c>
      <c r="L678" s="589">
        <v>10327.648585785142</v>
      </c>
      <c r="M678" s="589">
        <v>8566.1474156445347</v>
      </c>
      <c r="N678" s="589">
        <v>18433.223375938171</v>
      </c>
      <c r="O678" s="590">
        <v>18419.335341191058</v>
      </c>
      <c r="P678" s="167">
        <v>18401.640136611317</v>
      </c>
      <c r="Q678" s="167">
        <v>18793.267601466618</v>
      </c>
      <c r="R678" s="167">
        <v>19181.608662232939</v>
      </c>
      <c r="S678" s="167">
        <v>17868.6565786254</v>
      </c>
      <c r="T678" s="167">
        <v>13311.312506319451</v>
      </c>
      <c r="U678" s="167">
        <v>12542.237798653186</v>
      </c>
      <c r="V678" s="167">
        <v>11238.842948815935</v>
      </c>
      <c r="W678" s="167">
        <v>10694.565542297078</v>
      </c>
      <c r="X678" s="167">
        <v>22218.693213866733</v>
      </c>
      <c r="Y678"/>
      <c r="Z678"/>
      <c r="AA678"/>
      <c r="AB678"/>
      <c r="AC678"/>
      <c r="AD678"/>
      <c r="AE678"/>
      <c r="AF678"/>
      <c r="AG678"/>
    </row>
    <row r="679" spans="1:33" ht="12.75">
      <c r="A679" s="163"/>
      <c r="B679" s="163"/>
      <c r="C679" s="163"/>
      <c r="D679"/>
      <c r="E679"/>
      <c r="F679"/>
      <c r="G679"/>
      <c r="H679"/>
      <c r="I679"/>
      <c r="J679"/>
      <c r="K679"/>
      <c r="L679"/>
      <c r="M679"/>
      <c r="N679"/>
      <c r="O679"/>
      <c r="P679"/>
      <c r="Q679"/>
      <c r="R679"/>
      <c r="S679"/>
      <c r="T679"/>
      <c r="U679"/>
      <c r="V679"/>
      <c r="W679"/>
      <c r="X679"/>
      <c r="Y679"/>
      <c r="Z679"/>
      <c r="AA679"/>
      <c r="AB679"/>
      <c r="AC679"/>
      <c r="AD679"/>
      <c r="AE679"/>
      <c r="AF679"/>
      <c r="AG679"/>
    </row>
    <row r="680" spans="1:33" ht="12.75">
      <c r="A680" s="163"/>
      <c r="B680" s="163"/>
      <c r="C680" s="163"/>
      <c r="D680"/>
      <c r="E680"/>
      <c r="F680"/>
      <c r="G680"/>
      <c r="H680"/>
      <c r="I680"/>
      <c r="J680"/>
      <c r="K680"/>
      <c r="L680"/>
      <c r="M680"/>
      <c r="N680"/>
      <c r="O680"/>
      <c r="P680"/>
      <c r="Q680"/>
      <c r="R680"/>
      <c r="S680"/>
      <c r="T680"/>
      <c r="U680"/>
      <c r="V680"/>
      <c r="W680"/>
      <c r="X680"/>
      <c r="Y680"/>
      <c r="Z680"/>
      <c r="AA680"/>
      <c r="AB680"/>
      <c r="AC680"/>
      <c r="AD680"/>
      <c r="AE680"/>
      <c r="AF680"/>
      <c r="AG680"/>
    </row>
    <row r="681" spans="1:33" ht="12.75">
      <c r="A681" s="169" t="s">
        <v>705</v>
      </c>
      <c r="B681" s="163"/>
      <c r="C681" s="163"/>
      <c r="D681"/>
      <c r="E681"/>
      <c r="F681"/>
      <c r="G681"/>
      <c r="H681"/>
      <c r="I681"/>
      <c r="J681"/>
      <c r="K681"/>
      <c r="L681"/>
      <c r="M681"/>
      <c r="N681"/>
      <c r="O681"/>
      <c r="P681"/>
      <c r="Q681"/>
      <c r="R681"/>
      <c r="S681"/>
      <c r="T681"/>
      <c r="U681"/>
      <c r="V681"/>
      <c r="W681"/>
      <c r="X681"/>
      <c r="Y681"/>
      <c r="Z681"/>
      <c r="AA681"/>
      <c r="AB681"/>
      <c r="AC681"/>
      <c r="AD681"/>
      <c r="AE681"/>
      <c r="AF681"/>
      <c r="AG681"/>
    </row>
    <row r="682" spans="1:33" ht="12.75">
      <c r="A682" s="416">
        <v>36438</v>
      </c>
      <c r="B682" s="163"/>
      <c r="C682" s="163"/>
      <c r="D682"/>
      <c r="E682"/>
      <c r="F682"/>
      <c r="G682"/>
      <c r="H682"/>
      <c r="I682"/>
      <c r="J682"/>
      <c r="K682"/>
      <c r="L682"/>
      <c r="M682"/>
      <c r="N682"/>
      <c r="O682"/>
      <c r="P682"/>
      <c r="Q682"/>
      <c r="R682"/>
      <c r="S682"/>
      <c r="T682"/>
      <c r="U682"/>
      <c r="V682"/>
      <c r="W682"/>
      <c r="X682"/>
      <c r="Y682"/>
      <c r="Z682"/>
      <c r="AA682"/>
      <c r="AB682"/>
      <c r="AC682"/>
      <c r="AD682"/>
      <c r="AE682"/>
      <c r="AF682"/>
      <c r="AG682"/>
    </row>
    <row r="683" spans="1:33" ht="12.75">
      <c r="A683" s="164" t="s">
        <v>427</v>
      </c>
      <c r="B683" s="172">
        <v>37033.783381526431</v>
      </c>
      <c r="C683" s="163"/>
      <c r="D683"/>
      <c r="E683"/>
      <c r="F683"/>
      <c r="G683"/>
      <c r="H683"/>
      <c r="I683"/>
      <c r="J683"/>
      <c r="K683"/>
      <c r="L683"/>
      <c r="M683"/>
      <c r="N683"/>
      <c r="O683"/>
      <c r="P683"/>
      <c r="Q683"/>
      <c r="R683"/>
      <c r="S683"/>
      <c r="T683"/>
      <c r="U683"/>
      <c r="V683"/>
      <c r="W683"/>
      <c r="X683"/>
      <c r="Y683"/>
      <c r="Z683"/>
      <c r="AA683"/>
      <c r="AB683"/>
      <c r="AC683"/>
      <c r="AD683"/>
      <c r="AE683"/>
      <c r="AF683"/>
      <c r="AG683"/>
    </row>
    <row r="684" spans="1:33" ht="12.75">
      <c r="A684" s="165" t="s">
        <v>428</v>
      </c>
      <c r="B684" s="1174">
        <v>66947.128691388236</v>
      </c>
      <c r="C684" s="163"/>
      <c r="D684"/>
      <c r="E684"/>
      <c r="F684"/>
      <c r="G684"/>
      <c r="H684"/>
      <c r="I684"/>
      <c r="J684"/>
      <c r="K684"/>
      <c r="L684"/>
      <c r="M684"/>
      <c r="N684"/>
      <c r="O684"/>
      <c r="P684"/>
      <c r="Q684"/>
      <c r="R684"/>
      <c r="S684"/>
      <c r="T684"/>
      <c r="U684"/>
      <c r="V684"/>
      <c r="W684"/>
      <c r="X684"/>
      <c r="Y684"/>
      <c r="Z684"/>
      <c r="AA684"/>
      <c r="AB684"/>
      <c r="AC684"/>
      <c r="AD684"/>
      <c r="AE684"/>
      <c r="AF684"/>
      <c r="AG684"/>
    </row>
    <row r="685" spans="1:33" ht="12.75">
      <c r="A685" s="166" t="s">
        <v>429</v>
      </c>
      <c r="B685" s="580" t="s">
        <v>499</v>
      </c>
      <c r="C685" s="580" t="s">
        <v>500</v>
      </c>
      <c r="D685" s="582">
        <v>1999</v>
      </c>
      <c r="E685" s="583">
        <v>2000</v>
      </c>
      <c r="F685" s="583">
        <v>2001</v>
      </c>
      <c r="G685" s="583">
        <v>2002</v>
      </c>
      <c r="H685" s="583">
        <v>2003</v>
      </c>
      <c r="I685" s="583">
        <v>2004</v>
      </c>
      <c r="J685" s="583">
        <v>2005</v>
      </c>
      <c r="K685" s="583">
        <v>2006</v>
      </c>
      <c r="L685" s="583">
        <v>2007</v>
      </c>
      <c r="M685" s="583">
        <v>2008</v>
      </c>
      <c r="N685" s="583">
        <v>2009</v>
      </c>
      <c r="O685" s="584">
        <v>2010</v>
      </c>
      <c r="P685" s="171">
        <v>2011</v>
      </c>
      <c r="Q685" s="171">
        <v>2012</v>
      </c>
      <c r="R685" s="171">
        <v>2013</v>
      </c>
      <c r="S685" s="171">
        <v>2014</v>
      </c>
      <c r="T685" s="171">
        <v>2015</v>
      </c>
      <c r="U685" s="171">
        <v>2016</v>
      </c>
      <c r="V685" s="171">
        <v>2017</v>
      </c>
      <c r="W685" s="171">
        <v>2018</v>
      </c>
      <c r="X685" s="171">
        <v>2019</v>
      </c>
      <c r="Y685"/>
      <c r="Z685"/>
      <c r="AA685"/>
      <c r="AB685"/>
      <c r="AC685"/>
      <c r="AD685"/>
      <c r="AE685"/>
      <c r="AF685"/>
      <c r="AG685"/>
    </row>
    <row r="686" spans="1:33" ht="12.75">
      <c r="A686" s="166" t="s">
        <v>430</v>
      </c>
      <c r="B686" s="581">
        <f>NPV(0.1,D686:Y686)</f>
        <v>418867.16558122361</v>
      </c>
      <c r="C686" s="581">
        <f>B686-B675</f>
        <v>0</v>
      </c>
      <c r="D686" s="585">
        <v>26898.216959999994</v>
      </c>
      <c r="E686" s="586">
        <v>40079.915814977372</v>
      </c>
      <c r="F686" s="586">
        <v>40673.161342217194</v>
      </c>
      <c r="G686" s="586">
        <v>40731.64097768371</v>
      </c>
      <c r="H686" s="586">
        <v>47605.84011425489</v>
      </c>
      <c r="I686" s="586">
        <v>52769.765885234337</v>
      </c>
      <c r="J686" s="586">
        <v>53213.775120657876</v>
      </c>
      <c r="K686" s="586">
        <v>53653.259503785877</v>
      </c>
      <c r="L686" s="586">
        <v>54718.611193040255</v>
      </c>
      <c r="M686" s="586">
        <v>55165.928277364612</v>
      </c>
      <c r="N686" s="586">
        <v>56276.660029826366</v>
      </c>
      <c r="O686" s="587">
        <v>56731.133874277803</v>
      </c>
      <c r="P686" s="167">
        <v>57888.82179464693</v>
      </c>
      <c r="Q686" s="167">
        <v>58349.665078533413</v>
      </c>
      <c r="R686" s="167">
        <v>58802.386402713681</v>
      </c>
      <c r="S686" s="167">
        <v>59246.083690649852</v>
      </c>
      <c r="T686" s="167">
        <v>59679.808050975516</v>
      </c>
      <c r="U686" s="167">
        <v>60102.561780474927</v>
      </c>
      <c r="V686" s="167">
        <v>60513.296289374215</v>
      </c>
      <c r="W686" s="167">
        <v>60910.909946080785</v>
      </c>
      <c r="X686" s="167">
        <v>61294.245838405084</v>
      </c>
      <c r="Y686"/>
      <c r="Z686"/>
      <c r="AA686"/>
      <c r="AB686"/>
      <c r="AC686"/>
      <c r="AD686"/>
      <c r="AE686"/>
      <c r="AF686"/>
      <c r="AG686"/>
    </row>
    <row r="687" spans="1:33" ht="12.75">
      <c r="A687" s="168" t="s">
        <v>431</v>
      </c>
      <c r="B687" s="581">
        <f>NPV(0.1,D687:Y687)</f>
        <v>196859.28644348239</v>
      </c>
      <c r="C687" s="581">
        <f>B687-B676</f>
        <v>0</v>
      </c>
      <c r="D687" s="585">
        <v>18832.90043852941</v>
      </c>
      <c r="E687" s="586">
        <v>20833.746597600508</v>
      </c>
      <c r="F687" s="586">
        <v>21171.657137494145</v>
      </c>
      <c r="G687" s="586">
        <v>21276.468052824974</v>
      </c>
      <c r="H687" s="586">
        <v>22525.956422173054</v>
      </c>
      <c r="I687" s="586">
        <v>23310.689678366256</v>
      </c>
      <c r="J687" s="586">
        <v>23440.394969516696</v>
      </c>
      <c r="K687" s="586">
        <v>23568.879122384467</v>
      </c>
      <c r="L687" s="586">
        <v>23701.707275084602</v>
      </c>
      <c r="M687" s="586">
        <v>23839.009747612065</v>
      </c>
      <c r="N687" s="586">
        <v>23975.482155713609</v>
      </c>
      <c r="O687" s="587">
        <v>24899.861763841327</v>
      </c>
      <c r="P687" s="167">
        <v>24986.145435600934</v>
      </c>
      <c r="Q687" s="167">
        <v>25061.149152200756</v>
      </c>
      <c r="R687" s="167">
        <v>25141.339831776539</v>
      </c>
      <c r="S687" s="167">
        <v>25226.873083217539</v>
      </c>
      <c r="T687" s="167">
        <v>25285.277500591339</v>
      </c>
      <c r="U687" s="167">
        <v>25333.034010912765</v>
      </c>
      <c r="V687" s="167">
        <v>25386.628493760763</v>
      </c>
      <c r="W687" s="167">
        <v>25544.131137576311</v>
      </c>
      <c r="X687" s="167">
        <v>25756.774811077881</v>
      </c>
      <c r="Y687"/>
      <c r="Z687"/>
      <c r="AA687"/>
      <c r="AB687"/>
      <c r="AC687"/>
      <c r="AD687"/>
      <c r="AE687"/>
      <c r="AF687"/>
      <c r="AG687"/>
    </row>
    <row r="688" spans="1:33" ht="12.75">
      <c r="A688" s="168" t="s">
        <v>34</v>
      </c>
      <c r="B688" s="581">
        <f>NPV(0.1,D688:Y688)</f>
        <v>80614.12972710804</v>
      </c>
      <c r="C688" s="581">
        <f>B688-B677</f>
        <v>47.693684906844283</v>
      </c>
      <c r="D688" s="585">
        <v>-1903.7335769251476</v>
      </c>
      <c r="E688" s="586">
        <v>3436.1784469768418</v>
      </c>
      <c r="F688" s="586">
        <v>3760.6330000966877</v>
      </c>
      <c r="G688" s="586">
        <v>4010.5339281140227</v>
      </c>
      <c r="H688" s="586">
        <v>7887.7117074087901</v>
      </c>
      <c r="I688" s="586">
        <v>10983.707188771137</v>
      </c>
      <c r="J688" s="586">
        <v>11590.396011271299</v>
      </c>
      <c r="K688" s="586">
        <v>12044.750376659311</v>
      </c>
      <c r="L688" s="586">
        <v>12887.692766704336</v>
      </c>
      <c r="M688" s="586">
        <v>13504.700967748724</v>
      </c>
      <c r="N688" s="586">
        <v>14650.856170705434</v>
      </c>
      <c r="O688" s="587">
        <v>14485.917113021957</v>
      </c>
      <c r="P688" s="167">
        <v>15316.84768370729</v>
      </c>
      <c r="Q688" s="167">
        <v>15719.150361291795</v>
      </c>
      <c r="R688" s="167">
        <v>16113.132050873108</v>
      </c>
      <c r="S688" s="167">
        <v>16498.131467690568</v>
      </c>
      <c r="T688" s="167">
        <v>16893.857078898011</v>
      </c>
      <c r="U688" s="167">
        <v>17450.449462775945</v>
      </c>
      <c r="V688" s="167">
        <v>18060.3046129387</v>
      </c>
      <c r="W688" s="167">
        <v>18693.632157154658</v>
      </c>
      <c r="X688" s="167">
        <v>19362.059132185481</v>
      </c>
      <c r="Y688"/>
      <c r="Z688"/>
      <c r="AA688"/>
      <c r="AB688"/>
      <c r="AC688"/>
      <c r="AD688"/>
      <c r="AE688"/>
      <c r="AF688"/>
      <c r="AG688"/>
    </row>
    <row r="689" spans="1:33" ht="12.75">
      <c r="A689" s="168" t="s">
        <v>31</v>
      </c>
      <c r="B689" s="581">
        <f>NPV(0.1,D689:Y689)</f>
        <v>83673.15440521203</v>
      </c>
      <c r="C689" s="581">
        <f>B689-B678</f>
        <v>-55.066693484332063</v>
      </c>
      <c r="D689" s="588">
        <v>-5718.3348220110347</v>
      </c>
      <c r="E689" s="589">
        <v>3460.107103552511</v>
      </c>
      <c r="F689" s="589">
        <v>4742.339579585956</v>
      </c>
      <c r="G689" s="589">
        <v>3400.6374387233409</v>
      </c>
      <c r="H689" s="589">
        <v>13149.96785053673</v>
      </c>
      <c r="I689" s="589">
        <v>16665.231809703244</v>
      </c>
      <c r="J689" s="589">
        <v>12524.888084792674</v>
      </c>
      <c r="K689" s="589">
        <v>12975.759966233363</v>
      </c>
      <c r="L689" s="589">
        <v>10320.274226377644</v>
      </c>
      <c r="M689" s="589">
        <v>8558.7605573227811</v>
      </c>
      <c r="N689" s="589">
        <v>18425.849016530676</v>
      </c>
      <c r="O689" s="590">
        <v>18411.948482869309</v>
      </c>
      <c r="P689" s="167">
        <v>18394.265777203818</v>
      </c>
      <c r="Q689" s="167">
        <v>18785.880743144869</v>
      </c>
      <c r="R689" s="167">
        <v>19174.23430282544</v>
      </c>
      <c r="S689" s="167">
        <v>17864.96939892165</v>
      </c>
      <c r="T689" s="167">
        <v>13311.312506319451</v>
      </c>
      <c r="U689" s="167">
        <v>12542.237798653186</v>
      </c>
      <c r="V689" s="167">
        <v>11238.842948815935</v>
      </c>
      <c r="W689" s="167">
        <v>10694.565542297074</v>
      </c>
      <c r="X689" s="167">
        <v>22218.693213866733</v>
      </c>
      <c r="Y689"/>
      <c r="Z689"/>
      <c r="AA689"/>
      <c r="AB689"/>
      <c r="AC689"/>
      <c r="AD689"/>
      <c r="AE689"/>
      <c r="AF689"/>
      <c r="AG689"/>
    </row>
    <row r="690" spans="1:33" ht="12.75">
      <c r="A690" s="163"/>
      <c r="B690" s="163"/>
      <c r="C690" s="163"/>
      <c r="D690"/>
      <c r="E690"/>
      <c r="F690"/>
      <c r="G690"/>
      <c r="H690"/>
      <c r="I690"/>
      <c r="J690"/>
      <c r="K690"/>
      <c r="L690"/>
      <c r="M690"/>
      <c r="N690"/>
      <c r="O690"/>
      <c r="P690"/>
      <c r="Q690"/>
      <c r="R690"/>
      <c r="S690"/>
      <c r="T690"/>
      <c r="U690"/>
      <c r="V690"/>
      <c r="W690"/>
      <c r="X690"/>
      <c r="Y690"/>
      <c r="Z690"/>
      <c r="AA690"/>
      <c r="AB690"/>
      <c r="AC690"/>
      <c r="AD690"/>
      <c r="AE690"/>
      <c r="AF690"/>
      <c r="AG690"/>
    </row>
    <row r="691" spans="1:33" ht="12.75">
      <c r="A691" s="163"/>
      <c r="B691" s="163"/>
      <c r="C691" s="163"/>
      <c r="D691"/>
      <c r="E691"/>
      <c r="F691"/>
      <c r="G691"/>
      <c r="H691"/>
      <c r="I691"/>
      <c r="J691"/>
      <c r="K691"/>
      <c r="L691"/>
      <c r="M691"/>
      <c r="N691"/>
      <c r="O691"/>
      <c r="P691"/>
      <c r="Q691"/>
      <c r="R691"/>
      <c r="S691"/>
      <c r="T691"/>
      <c r="U691"/>
      <c r="V691"/>
      <c r="W691"/>
      <c r="X691"/>
      <c r="Y691"/>
      <c r="Z691"/>
      <c r="AA691"/>
      <c r="AB691"/>
      <c r="AC691"/>
      <c r="AD691"/>
      <c r="AE691"/>
      <c r="AF691"/>
      <c r="AG691"/>
    </row>
    <row r="692" spans="1:33" ht="12.75">
      <c r="A692" s="169" t="s">
        <v>706</v>
      </c>
      <c r="B692" s="163"/>
      <c r="C692" s="163"/>
      <c r="D692"/>
      <c r="E692"/>
      <c r="F692"/>
      <c r="G692"/>
      <c r="H692"/>
      <c r="I692"/>
      <c r="J692"/>
      <c r="K692"/>
      <c r="L692"/>
      <c r="M692"/>
      <c r="N692"/>
      <c r="O692"/>
      <c r="P692"/>
      <c r="Q692"/>
      <c r="R692"/>
      <c r="S692"/>
      <c r="T692"/>
      <c r="U692"/>
      <c r="V692"/>
      <c r="W692"/>
      <c r="X692"/>
      <c r="Y692"/>
      <c r="Z692"/>
      <c r="AA692"/>
      <c r="AB692"/>
      <c r="AC692"/>
      <c r="AD692"/>
      <c r="AE692"/>
      <c r="AF692"/>
      <c r="AG692"/>
    </row>
    <row r="693" spans="1:33" ht="12.75">
      <c r="A693" s="416">
        <v>36452</v>
      </c>
      <c r="B693" s="163"/>
      <c r="C693" s="163"/>
      <c r="D693"/>
      <c r="E693"/>
      <c r="F693"/>
      <c r="G693"/>
      <c r="H693"/>
      <c r="I693"/>
      <c r="J693"/>
      <c r="K693"/>
      <c r="L693"/>
      <c r="M693"/>
      <c r="N693"/>
      <c r="O693"/>
      <c r="P693"/>
      <c r="Q693"/>
      <c r="R693"/>
      <c r="S693"/>
      <c r="T693"/>
      <c r="U693"/>
      <c r="V693"/>
      <c r="W693"/>
      <c r="X693"/>
      <c r="Y693"/>
      <c r="Z693"/>
      <c r="AA693"/>
      <c r="AB693"/>
      <c r="AC693"/>
      <c r="AD693"/>
      <c r="AE693"/>
      <c r="AF693"/>
      <c r="AG693"/>
    </row>
    <row r="694" spans="1:33" ht="12.75">
      <c r="A694" s="164" t="s">
        <v>427</v>
      </c>
      <c r="B694" s="172">
        <v>36920.08596834643</v>
      </c>
      <c r="C694" s="163"/>
      <c r="D694"/>
      <c r="E694"/>
      <c r="F694"/>
      <c r="G694"/>
      <c r="H694"/>
      <c r="I694"/>
      <c r="J694"/>
      <c r="K694"/>
      <c r="L694"/>
      <c r="M694"/>
      <c r="N694"/>
      <c r="O694"/>
      <c r="P694"/>
      <c r="Q694"/>
      <c r="R694"/>
      <c r="S694"/>
      <c r="T694"/>
      <c r="U694"/>
      <c r="V694"/>
      <c r="W694"/>
      <c r="X694"/>
      <c r="Y694"/>
      <c r="Z694"/>
      <c r="AA694"/>
      <c r="AB694"/>
      <c r="AC694"/>
      <c r="AD694"/>
      <c r="AE694"/>
      <c r="AF694"/>
      <c r="AG694"/>
    </row>
    <row r="695" spans="1:33" ht="12.75">
      <c r="A695" s="165" t="s">
        <v>428</v>
      </c>
      <c r="B695" s="1174">
        <v>66812.083691388223</v>
      </c>
      <c r="C695" s="163"/>
      <c r="D695"/>
      <c r="E695"/>
      <c r="F695"/>
      <c r="G695"/>
      <c r="H695"/>
      <c r="I695"/>
      <c r="J695"/>
      <c r="K695"/>
      <c r="L695"/>
      <c r="M695"/>
      <c r="N695"/>
      <c r="O695"/>
      <c r="P695"/>
      <c r="Q695"/>
      <c r="R695"/>
      <c r="S695"/>
      <c r="T695"/>
      <c r="U695"/>
      <c r="V695"/>
      <c r="W695"/>
      <c r="X695"/>
      <c r="Y695"/>
      <c r="Z695"/>
      <c r="AA695"/>
      <c r="AB695"/>
      <c r="AC695"/>
      <c r="AD695"/>
      <c r="AE695"/>
      <c r="AF695"/>
      <c r="AG695"/>
    </row>
    <row r="696" spans="1:33" ht="12.75">
      <c r="A696" s="166" t="s">
        <v>429</v>
      </c>
      <c r="B696" s="580" t="s">
        <v>499</v>
      </c>
      <c r="C696" s="580" t="s">
        <v>500</v>
      </c>
      <c r="D696" s="582">
        <v>1999</v>
      </c>
      <c r="E696" s="583">
        <v>2000</v>
      </c>
      <c r="F696" s="583">
        <v>2001</v>
      </c>
      <c r="G696" s="583">
        <v>2002</v>
      </c>
      <c r="H696" s="583">
        <v>2003</v>
      </c>
      <c r="I696" s="583">
        <v>2004</v>
      </c>
      <c r="J696" s="583">
        <v>2005</v>
      </c>
      <c r="K696" s="583">
        <v>2006</v>
      </c>
      <c r="L696" s="583">
        <v>2007</v>
      </c>
      <c r="M696" s="583">
        <v>2008</v>
      </c>
      <c r="N696" s="583">
        <v>2009</v>
      </c>
      <c r="O696" s="584">
        <v>2010</v>
      </c>
      <c r="P696" s="171">
        <v>2011</v>
      </c>
      <c r="Q696" s="171">
        <v>2012</v>
      </c>
      <c r="R696" s="171">
        <v>2013</v>
      </c>
      <c r="S696" s="171">
        <v>2014</v>
      </c>
      <c r="T696" s="171">
        <v>2015</v>
      </c>
      <c r="U696" s="171">
        <v>2016</v>
      </c>
      <c r="V696" s="171">
        <v>2017</v>
      </c>
      <c r="W696" s="171">
        <v>2018</v>
      </c>
      <c r="X696" s="171">
        <v>2019</v>
      </c>
      <c r="Y696"/>
      <c r="Z696"/>
      <c r="AA696"/>
      <c r="AB696"/>
      <c r="AC696"/>
      <c r="AD696"/>
      <c r="AE696"/>
      <c r="AF696"/>
      <c r="AG696"/>
    </row>
    <row r="697" spans="1:33" ht="12.75">
      <c r="A697" s="166" t="s">
        <v>430</v>
      </c>
      <c r="B697" s="581">
        <f>NPV(0.1,D697:Y697)</f>
        <v>418867.16558122361</v>
      </c>
      <c r="C697" s="581">
        <f>B697-B686</f>
        <v>0</v>
      </c>
      <c r="D697" s="585">
        <v>26898.216959999994</v>
      </c>
      <c r="E697" s="586">
        <v>40079.915814977372</v>
      </c>
      <c r="F697" s="586">
        <v>40673.161342217194</v>
      </c>
      <c r="G697" s="586">
        <v>40731.64097768371</v>
      </c>
      <c r="H697" s="586">
        <v>47605.84011425489</v>
      </c>
      <c r="I697" s="586">
        <v>52769.765885234337</v>
      </c>
      <c r="J697" s="586">
        <v>53213.775120657876</v>
      </c>
      <c r="K697" s="586">
        <v>53653.259503785877</v>
      </c>
      <c r="L697" s="586">
        <v>54718.611193040255</v>
      </c>
      <c r="M697" s="586">
        <v>55165.928277364612</v>
      </c>
      <c r="N697" s="586">
        <v>56276.660029826366</v>
      </c>
      <c r="O697" s="587">
        <v>56731.133874277803</v>
      </c>
      <c r="P697" s="167">
        <v>57888.82179464693</v>
      </c>
      <c r="Q697" s="167">
        <v>58349.665078533413</v>
      </c>
      <c r="R697" s="167">
        <v>58802.386402713681</v>
      </c>
      <c r="S697" s="167">
        <v>59246.083690649852</v>
      </c>
      <c r="T697" s="167">
        <v>59679.808050975516</v>
      </c>
      <c r="U697" s="167">
        <v>60102.561780474927</v>
      </c>
      <c r="V697" s="167">
        <v>60513.296289374215</v>
      </c>
      <c r="W697" s="167">
        <v>60910.909946080785</v>
      </c>
      <c r="X697" s="167">
        <v>61294.245838405084</v>
      </c>
      <c r="Y697"/>
      <c r="Z697"/>
      <c r="AA697"/>
      <c r="AB697"/>
      <c r="AC697"/>
      <c r="AD697"/>
      <c r="AE697"/>
      <c r="AF697"/>
      <c r="AG697"/>
    </row>
    <row r="698" spans="1:33" ht="12.75">
      <c r="A698" s="168" t="s">
        <v>431</v>
      </c>
      <c r="B698" s="581">
        <f>NPV(0.1,D698:Y698)</f>
        <v>196859.28644348239</v>
      </c>
      <c r="C698" s="581">
        <f>B698-B687</f>
        <v>0</v>
      </c>
      <c r="D698" s="585">
        <v>18832.90043852941</v>
      </c>
      <c r="E698" s="586">
        <v>20833.746597600508</v>
      </c>
      <c r="F698" s="586">
        <v>21171.657137494145</v>
      </c>
      <c r="G698" s="586">
        <v>21276.468052824974</v>
      </c>
      <c r="H698" s="586">
        <v>22525.956422173054</v>
      </c>
      <c r="I698" s="586">
        <v>23310.689678366256</v>
      </c>
      <c r="J698" s="586">
        <v>23440.394969516696</v>
      </c>
      <c r="K698" s="586">
        <v>23568.879122384467</v>
      </c>
      <c r="L698" s="586">
        <v>23701.707275084602</v>
      </c>
      <c r="M698" s="586">
        <v>23839.009747612065</v>
      </c>
      <c r="N698" s="586">
        <v>23975.482155713609</v>
      </c>
      <c r="O698" s="587">
        <v>24899.861763841327</v>
      </c>
      <c r="P698" s="167">
        <v>24986.145435600934</v>
      </c>
      <c r="Q698" s="167">
        <v>25061.149152200756</v>
      </c>
      <c r="R698" s="167">
        <v>25141.339831776539</v>
      </c>
      <c r="S698" s="167">
        <v>25226.873083217539</v>
      </c>
      <c r="T698" s="167">
        <v>25285.277500591339</v>
      </c>
      <c r="U698" s="167">
        <v>25333.034010912765</v>
      </c>
      <c r="V698" s="167">
        <v>25386.628493760763</v>
      </c>
      <c r="W698" s="167">
        <v>25544.131137576311</v>
      </c>
      <c r="X698" s="167">
        <v>25756.774811077881</v>
      </c>
      <c r="Y698"/>
      <c r="Z698"/>
      <c r="AA698"/>
      <c r="AB698"/>
      <c r="AC698"/>
      <c r="AD698"/>
      <c r="AE698"/>
      <c r="AF698"/>
      <c r="AG698"/>
    </row>
    <row r="699" spans="1:33" ht="12.75">
      <c r="A699" s="168" t="s">
        <v>34</v>
      </c>
      <c r="B699" s="581">
        <f>NPV(0.1,D699:Y699)</f>
        <v>80593.673406577596</v>
      </c>
      <c r="C699" s="581">
        <f>B699-B688</f>
        <v>-20.456320530443918</v>
      </c>
      <c r="D699" s="585">
        <v>-1904.7978253105646</v>
      </c>
      <c r="E699" s="586">
        <v>3433.6242508518412</v>
      </c>
      <c r="F699" s="586">
        <v>3758.0788039716876</v>
      </c>
      <c r="G699" s="586">
        <v>4007.9797319890222</v>
      </c>
      <c r="H699" s="586">
        <v>7885.1575112837891</v>
      </c>
      <c r="I699" s="586">
        <v>10981.178721812805</v>
      </c>
      <c r="J699" s="586">
        <v>11587.903565146302</v>
      </c>
      <c r="K699" s="586">
        <v>12042.257930534315</v>
      </c>
      <c r="L699" s="586">
        <v>12885.200320579337</v>
      </c>
      <c r="M699" s="586">
        <v>13502.208521623728</v>
      </c>
      <c r="N699" s="586">
        <v>14648.363724580437</v>
      </c>
      <c r="O699" s="587">
        <v>14483.424666896957</v>
      </c>
      <c r="P699" s="167">
        <v>15314.355237582291</v>
      </c>
      <c r="Q699" s="167">
        <v>15716.657915166797</v>
      </c>
      <c r="R699" s="167">
        <v>16110.639604748108</v>
      </c>
      <c r="S699" s="167">
        <v>16495.63902156557</v>
      </c>
      <c r="T699" s="167">
        <v>16891.364632773009</v>
      </c>
      <c r="U699" s="167">
        <v>17447.957016650944</v>
      </c>
      <c r="V699" s="167">
        <v>18057.812166813699</v>
      </c>
      <c r="W699" s="167">
        <v>18691.13971102966</v>
      </c>
      <c r="X699" s="167">
        <v>19359.566686060483</v>
      </c>
      <c r="Y699"/>
      <c r="Z699"/>
      <c r="AA699"/>
      <c r="AB699"/>
      <c r="AC699"/>
      <c r="AD699"/>
      <c r="AE699"/>
      <c r="AF699"/>
      <c r="AG699"/>
    </row>
    <row r="700" spans="1:33" ht="12.75">
      <c r="A700" s="168" t="s">
        <v>31</v>
      </c>
      <c r="B700" s="581">
        <f>NPV(0.1,D700:Y700)</f>
        <v>83696.226504067978</v>
      </c>
      <c r="C700" s="581">
        <f>B700-B689</f>
        <v>23.072098855947843</v>
      </c>
      <c r="D700" s="588">
        <v>-5718.3348220110347</v>
      </c>
      <c r="E700" s="589">
        <v>3460.107103552511</v>
      </c>
      <c r="F700" s="589">
        <v>4742.339579585956</v>
      </c>
      <c r="G700" s="589">
        <v>3400.6374387233409</v>
      </c>
      <c r="H700" s="589">
        <v>13149.96785053673</v>
      </c>
      <c r="I700" s="589">
        <v>16688.020666086992</v>
      </c>
      <c r="J700" s="589">
        <v>12527.924429080173</v>
      </c>
      <c r="K700" s="589">
        <v>12978.801456867117</v>
      </c>
      <c r="L700" s="589">
        <v>10323.310570665144</v>
      </c>
      <c r="M700" s="589">
        <v>8561.8020479565348</v>
      </c>
      <c r="N700" s="589">
        <v>18428.885360818174</v>
      </c>
      <c r="O700" s="590">
        <v>18414.989973503056</v>
      </c>
      <c r="P700" s="167">
        <v>18397.302121491317</v>
      </c>
      <c r="Q700" s="167">
        <v>18788.92223377862</v>
      </c>
      <c r="R700" s="167">
        <v>19177.270647112939</v>
      </c>
      <c r="S700" s="167">
        <v>17866.487571065398</v>
      </c>
      <c r="T700" s="167">
        <v>13311.312506319451</v>
      </c>
      <c r="U700" s="167">
        <v>12542.237798653186</v>
      </c>
      <c r="V700" s="167">
        <v>11238.84294881594</v>
      </c>
      <c r="W700" s="167">
        <v>10694.565542297078</v>
      </c>
      <c r="X700" s="167">
        <v>22218.693213866733</v>
      </c>
      <c r="Y700"/>
      <c r="Z700"/>
      <c r="AA700"/>
      <c r="AB700"/>
      <c r="AC700"/>
      <c r="AD700"/>
      <c r="AE700"/>
      <c r="AF700"/>
      <c r="AG700"/>
    </row>
    <row r="701" spans="1:33" ht="12.75">
      <c r="A701" s="163"/>
      <c r="B701" s="163"/>
      <c r="C701" s="163"/>
      <c r="D701"/>
      <c r="E701"/>
      <c r="F701"/>
      <c r="G701"/>
      <c r="H701"/>
      <c r="I701"/>
      <c r="J701"/>
      <c r="K701"/>
      <c r="L701"/>
      <c r="M701"/>
      <c r="N701"/>
      <c r="O701"/>
      <c r="P701"/>
      <c r="Q701"/>
      <c r="R701"/>
      <c r="S701"/>
      <c r="T701"/>
      <c r="U701"/>
      <c r="V701"/>
      <c r="W701"/>
      <c r="X701"/>
      <c r="Y701"/>
      <c r="Z701"/>
      <c r="AA701"/>
      <c r="AB701"/>
      <c r="AC701"/>
      <c r="AD701"/>
      <c r="AE701"/>
      <c r="AF701"/>
      <c r="AG701"/>
    </row>
    <row r="702" spans="1:33" ht="12.75">
      <c r="A702" s="163"/>
      <c r="B702" s="163"/>
      <c r="C702" s="163"/>
      <c r="D702"/>
      <c r="E702"/>
      <c r="F702"/>
      <c r="G702"/>
      <c r="H702"/>
      <c r="I702"/>
      <c r="J702"/>
      <c r="K702"/>
      <c r="L702"/>
      <c r="M702"/>
      <c r="N702"/>
      <c r="O702"/>
      <c r="P702"/>
      <c r="Q702"/>
      <c r="R702"/>
      <c r="S702"/>
      <c r="T702"/>
      <c r="U702"/>
      <c r="V702"/>
      <c r="W702"/>
      <c r="X702"/>
      <c r="Y702"/>
      <c r="Z702"/>
      <c r="AA702"/>
      <c r="AB702"/>
      <c r="AC702"/>
      <c r="AD702"/>
      <c r="AE702"/>
      <c r="AF702"/>
      <c r="AG702"/>
    </row>
    <row r="703" spans="1:33" ht="12.75">
      <c r="A703" s="169" t="s">
        <v>707</v>
      </c>
      <c r="B703" s="163"/>
      <c r="C703" s="163"/>
      <c r="D703"/>
      <c r="E703"/>
      <c r="F703"/>
      <c r="G703"/>
      <c r="H703"/>
      <c r="I703"/>
      <c r="J703"/>
      <c r="K703"/>
      <c r="L703"/>
      <c r="M703"/>
      <c r="N703"/>
      <c r="O703"/>
      <c r="P703"/>
      <c r="Q703"/>
      <c r="R703"/>
      <c r="S703"/>
      <c r="T703"/>
      <c r="U703"/>
      <c r="V703"/>
      <c r="W703"/>
      <c r="X703"/>
      <c r="Y703"/>
      <c r="Z703"/>
      <c r="AA703"/>
      <c r="AB703"/>
      <c r="AC703"/>
      <c r="AD703"/>
      <c r="AE703"/>
      <c r="AF703"/>
      <c r="AG703"/>
    </row>
    <row r="704" spans="1:33" ht="12.75">
      <c r="A704" s="416">
        <v>36465</v>
      </c>
      <c r="B704" s="163"/>
      <c r="C704" s="163"/>
      <c r="D704"/>
      <c r="E704"/>
      <c r="F704"/>
      <c r="G704"/>
      <c r="H704"/>
      <c r="I704"/>
      <c r="J704"/>
      <c r="K704"/>
      <c r="L704"/>
      <c r="M704"/>
      <c r="N704"/>
      <c r="O704"/>
      <c r="P704"/>
      <c r="Q704"/>
      <c r="R704"/>
      <c r="S704"/>
      <c r="T704"/>
      <c r="U704"/>
      <c r="V704"/>
      <c r="W704"/>
      <c r="X704"/>
      <c r="Y704"/>
      <c r="Z704"/>
      <c r="AA704"/>
      <c r="AB704"/>
      <c r="AC704"/>
      <c r="AD704"/>
      <c r="AE704"/>
      <c r="AF704"/>
      <c r="AG704"/>
    </row>
    <row r="705" spans="1:33" ht="12.75">
      <c r="A705" s="164" t="s">
        <v>427</v>
      </c>
      <c r="B705" s="172">
        <v>36757.378055726389</v>
      </c>
      <c r="C705" s="163"/>
      <c r="D705"/>
      <c r="E705"/>
      <c r="F705"/>
      <c r="G705"/>
      <c r="H705"/>
      <c r="I705"/>
      <c r="J705"/>
      <c r="K705"/>
      <c r="L705"/>
      <c r="M705"/>
      <c r="N705"/>
      <c r="O705"/>
      <c r="P705"/>
      <c r="Q705"/>
      <c r="R705"/>
      <c r="S705"/>
      <c r="T705"/>
      <c r="U705"/>
      <c r="V705"/>
      <c r="W705"/>
      <c r="X705"/>
      <c r="Y705"/>
      <c r="Z705"/>
      <c r="AA705"/>
      <c r="AB705"/>
      <c r="AC705"/>
      <c r="AD705"/>
      <c r="AE705"/>
      <c r="AF705"/>
      <c r="AG705"/>
    </row>
    <row r="706" spans="1:33" ht="12.75">
      <c r="A706" s="165" t="s">
        <v>428</v>
      </c>
      <c r="B706" s="1174">
        <v>66618.123691388217</v>
      </c>
      <c r="C706" s="163"/>
      <c r="D706"/>
      <c r="E706"/>
      <c r="F706"/>
      <c r="G706"/>
      <c r="H706"/>
      <c r="I706"/>
      <c r="J706"/>
      <c r="K706"/>
      <c r="L706"/>
      <c r="M706"/>
      <c r="N706"/>
      <c r="O706"/>
      <c r="P706"/>
      <c r="Q706"/>
      <c r="R706"/>
      <c r="S706"/>
      <c r="T706"/>
      <c r="U706"/>
      <c r="V706"/>
      <c r="W706"/>
      <c r="X706"/>
      <c r="Y706"/>
      <c r="Z706"/>
      <c r="AA706"/>
      <c r="AB706"/>
      <c r="AC706"/>
      <c r="AD706"/>
      <c r="AE706"/>
      <c r="AF706"/>
      <c r="AG706"/>
    </row>
    <row r="707" spans="1:33" ht="12.75">
      <c r="A707" s="166" t="s">
        <v>429</v>
      </c>
      <c r="B707" s="580" t="s">
        <v>499</v>
      </c>
      <c r="C707" s="580" t="s">
        <v>500</v>
      </c>
      <c r="D707" s="582">
        <v>1999</v>
      </c>
      <c r="E707" s="583">
        <v>2000</v>
      </c>
      <c r="F707" s="583">
        <v>2001</v>
      </c>
      <c r="G707" s="583">
        <v>2002</v>
      </c>
      <c r="H707" s="583">
        <v>2003</v>
      </c>
      <c r="I707" s="583">
        <v>2004</v>
      </c>
      <c r="J707" s="583">
        <v>2005</v>
      </c>
      <c r="K707" s="583">
        <v>2006</v>
      </c>
      <c r="L707" s="583">
        <v>2007</v>
      </c>
      <c r="M707" s="583">
        <v>2008</v>
      </c>
      <c r="N707" s="583">
        <v>2009</v>
      </c>
      <c r="O707" s="584">
        <v>2010</v>
      </c>
      <c r="P707" s="171">
        <v>2011</v>
      </c>
      <c r="Q707" s="171">
        <v>2012</v>
      </c>
      <c r="R707" s="171">
        <v>2013</v>
      </c>
      <c r="S707" s="171">
        <v>2014</v>
      </c>
      <c r="T707" s="171">
        <v>2015</v>
      </c>
      <c r="U707" s="171">
        <v>2016</v>
      </c>
      <c r="V707" s="171">
        <v>2017</v>
      </c>
      <c r="W707" s="171">
        <v>2018</v>
      </c>
      <c r="X707" s="171">
        <v>2019</v>
      </c>
      <c r="Y707"/>
      <c r="Z707"/>
      <c r="AA707"/>
      <c r="AB707"/>
      <c r="AC707"/>
      <c r="AD707"/>
      <c r="AE707"/>
      <c r="AF707"/>
      <c r="AG707"/>
    </row>
    <row r="708" spans="1:33" ht="12.75">
      <c r="A708" s="166" t="s">
        <v>430</v>
      </c>
      <c r="B708" s="581">
        <f>NPV(0.1,D708:Y708)</f>
        <v>418867.16558122361</v>
      </c>
      <c r="C708" s="581">
        <f>B708-B697</f>
        <v>0</v>
      </c>
      <c r="D708" s="585">
        <v>26898.216959999994</v>
      </c>
      <c r="E708" s="586">
        <v>40079.915814977372</v>
      </c>
      <c r="F708" s="586">
        <v>40673.161342217194</v>
      </c>
      <c r="G708" s="586">
        <v>40731.64097768371</v>
      </c>
      <c r="H708" s="586">
        <v>47605.84011425489</v>
      </c>
      <c r="I708" s="586">
        <v>52769.765885234337</v>
      </c>
      <c r="J708" s="586">
        <v>53213.775120657876</v>
      </c>
      <c r="K708" s="586">
        <v>53653.259503785877</v>
      </c>
      <c r="L708" s="586">
        <v>54718.611193040255</v>
      </c>
      <c r="M708" s="586">
        <v>55165.928277364612</v>
      </c>
      <c r="N708" s="586">
        <v>56276.660029826366</v>
      </c>
      <c r="O708" s="587">
        <v>56731.133874277803</v>
      </c>
      <c r="P708" s="167">
        <v>57888.82179464693</v>
      </c>
      <c r="Q708" s="167">
        <v>58349.665078533413</v>
      </c>
      <c r="R708" s="167">
        <v>58802.386402713681</v>
      </c>
      <c r="S708" s="167">
        <v>59246.083690649852</v>
      </c>
      <c r="T708" s="167">
        <v>59679.808050975516</v>
      </c>
      <c r="U708" s="167">
        <v>60102.561780474927</v>
      </c>
      <c r="V708" s="167">
        <v>60513.296289374215</v>
      </c>
      <c r="W708" s="167">
        <v>60910.909946080785</v>
      </c>
      <c r="X708" s="167">
        <v>61294.245838405084</v>
      </c>
      <c r="Y708"/>
      <c r="Z708"/>
      <c r="AA708"/>
      <c r="AB708"/>
      <c r="AC708"/>
      <c r="AD708"/>
      <c r="AE708"/>
      <c r="AF708"/>
      <c r="AG708"/>
    </row>
    <row r="709" spans="1:33" ht="12.75">
      <c r="A709" s="168" t="s">
        <v>431</v>
      </c>
      <c r="B709" s="581">
        <f>NPV(0.1,D709:Y709)</f>
        <v>196859.28644348239</v>
      </c>
      <c r="C709" s="581">
        <f>B709-B698</f>
        <v>0</v>
      </c>
      <c r="D709" s="585">
        <v>18832.90043852941</v>
      </c>
      <c r="E709" s="586">
        <v>20833.746597600508</v>
      </c>
      <c r="F709" s="586">
        <v>21171.657137494145</v>
      </c>
      <c r="G709" s="586">
        <v>21276.468052824974</v>
      </c>
      <c r="H709" s="586">
        <v>22525.956422173054</v>
      </c>
      <c r="I709" s="586">
        <v>23310.689678366256</v>
      </c>
      <c r="J709" s="586">
        <v>23440.394969516696</v>
      </c>
      <c r="K709" s="586">
        <v>23568.879122384467</v>
      </c>
      <c r="L709" s="586">
        <v>23701.707275084602</v>
      </c>
      <c r="M709" s="586">
        <v>23839.009747612065</v>
      </c>
      <c r="N709" s="586">
        <v>23975.482155713609</v>
      </c>
      <c r="O709" s="587">
        <v>24899.861763841327</v>
      </c>
      <c r="P709" s="167">
        <v>24986.145435600934</v>
      </c>
      <c r="Q709" s="167">
        <v>25061.149152200756</v>
      </c>
      <c r="R709" s="167">
        <v>25141.339831776539</v>
      </c>
      <c r="S709" s="167">
        <v>25226.873083217539</v>
      </c>
      <c r="T709" s="167">
        <v>25285.277500591339</v>
      </c>
      <c r="U709" s="167">
        <v>25333.034010912765</v>
      </c>
      <c r="V709" s="167">
        <v>25386.628493760763</v>
      </c>
      <c r="W709" s="167">
        <v>25544.131137576311</v>
      </c>
      <c r="X709" s="167">
        <v>25756.774811077881</v>
      </c>
      <c r="Y709"/>
      <c r="Z709"/>
      <c r="AA709"/>
      <c r="AB709"/>
      <c r="AC709"/>
      <c r="AD709"/>
      <c r="AE709"/>
      <c r="AF709"/>
      <c r="AG709"/>
    </row>
    <row r="710" spans="1:33" ht="12.75">
      <c r="A710" s="168" t="s">
        <v>34</v>
      </c>
      <c r="B710" s="581">
        <f>NPV(0.1,D710:Y710)</f>
        <v>80560.758168963555</v>
      </c>
      <c r="C710" s="581">
        <f>B710-B699</f>
        <v>-32.915237614040961</v>
      </c>
      <c r="D710" s="585">
        <v>-1906.854120893898</v>
      </c>
      <c r="E710" s="586">
        <v>3428.6891414518414</v>
      </c>
      <c r="F710" s="586">
        <v>3753.1436945716873</v>
      </c>
      <c r="G710" s="586">
        <v>4003.0446225890223</v>
      </c>
      <c r="H710" s="586">
        <v>7880.2224018837896</v>
      </c>
      <c r="I710" s="586">
        <v>10976.901455746138</v>
      </c>
      <c r="J710" s="586">
        <v>11584.547279746301</v>
      </c>
      <c r="K710" s="586">
        <v>12038.901645134312</v>
      </c>
      <c r="L710" s="586">
        <v>12881.844035179336</v>
      </c>
      <c r="M710" s="586">
        <v>13498.852236223725</v>
      </c>
      <c r="N710" s="586">
        <v>14645.007439180436</v>
      </c>
      <c r="O710" s="587">
        <v>14480.068381496956</v>
      </c>
      <c r="P710" s="167">
        <v>15310.99895218229</v>
      </c>
      <c r="Q710" s="167">
        <v>15713.301629766796</v>
      </c>
      <c r="R710" s="167">
        <v>16107.283319348107</v>
      </c>
      <c r="S710" s="167">
        <v>16492.282736165569</v>
      </c>
      <c r="T710" s="167">
        <v>16888.008347373012</v>
      </c>
      <c r="U710" s="167">
        <v>17444.600731250946</v>
      </c>
      <c r="V710" s="167">
        <v>18054.455881413698</v>
      </c>
      <c r="W710" s="167">
        <v>18687.783425629656</v>
      </c>
      <c r="X710" s="167">
        <v>19356.210400660482</v>
      </c>
      <c r="Y710"/>
      <c r="Z710"/>
      <c r="AA710"/>
      <c r="AB710"/>
      <c r="AC710"/>
      <c r="AD710"/>
      <c r="AE710"/>
      <c r="AF710"/>
      <c r="AG710"/>
    </row>
    <row r="711" spans="1:33" ht="12.75">
      <c r="A711" s="168" t="s">
        <v>31</v>
      </c>
      <c r="B711" s="581">
        <f>NPV(0.1,D711:Y711)</f>
        <v>83729.909837052837</v>
      </c>
      <c r="C711" s="581">
        <f>B711-B700</f>
        <v>33.683332984859589</v>
      </c>
      <c r="D711" s="588">
        <v>-5718.3348220110347</v>
      </c>
      <c r="E711" s="589">
        <v>3460.107103552511</v>
      </c>
      <c r="F711" s="589">
        <v>4742.3395795859524</v>
      </c>
      <c r="G711" s="589">
        <v>3400.6374387233373</v>
      </c>
      <c r="H711" s="589">
        <v>13149.96785053673</v>
      </c>
      <c r="I711" s="589">
        <v>16723.340097048997</v>
      </c>
      <c r="J711" s="589">
        <v>12532.013118460172</v>
      </c>
      <c r="K711" s="589">
        <v>12982.897076229114</v>
      </c>
      <c r="L711" s="589">
        <v>10327.399260045142</v>
      </c>
      <c r="M711" s="589">
        <v>8565.8976673185298</v>
      </c>
      <c r="N711" s="589">
        <v>18432.974050198172</v>
      </c>
      <c r="O711" s="590">
        <v>18419.085592865056</v>
      </c>
      <c r="P711" s="167">
        <v>18401.390810871322</v>
      </c>
      <c r="Q711" s="167">
        <v>18793.01785314062</v>
      </c>
      <c r="R711" s="167">
        <v>19181.35933649294</v>
      </c>
      <c r="S711" s="167">
        <v>17868.5319157554</v>
      </c>
      <c r="T711" s="167">
        <v>13311.312506319451</v>
      </c>
      <c r="U711" s="167">
        <v>12542.237798653186</v>
      </c>
      <c r="V711" s="167">
        <v>11238.842948815935</v>
      </c>
      <c r="W711" s="167">
        <v>10694.565542297074</v>
      </c>
      <c r="X711" s="167">
        <v>22218.693213866733</v>
      </c>
      <c r="Y711"/>
      <c r="Z711"/>
      <c r="AA711"/>
      <c r="AB711"/>
      <c r="AC711"/>
      <c r="AD711"/>
      <c r="AE711"/>
      <c r="AF711"/>
      <c r="AG711"/>
    </row>
    <row r="712" spans="1:33" ht="12.75">
      <c r="A712" s="163"/>
      <c r="B712" s="163"/>
      <c r="C712" s="163"/>
      <c r="D712"/>
      <c r="E712"/>
      <c r="F712"/>
      <c r="G712"/>
      <c r="H712"/>
      <c r="I712"/>
      <c r="J712"/>
      <c r="K712"/>
      <c r="L712"/>
      <c r="M712"/>
      <c r="N712"/>
      <c r="O712"/>
      <c r="P712"/>
      <c r="Q712"/>
      <c r="R712"/>
      <c r="S712"/>
      <c r="T712"/>
      <c r="U712"/>
      <c r="V712"/>
      <c r="W712"/>
      <c r="X712"/>
      <c r="Y712"/>
      <c r="Z712"/>
      <c r="AA712"/>
      <c r="AB712"/>
      <c r="AC712"/>
      <c r="AD712"/>
      <c r="AE712"/>
      <c r="AF712"/>
      <c r="AG712"/>
    </row>
    <row r="713" spans="1:33" ht="12.75">
      <c r="A713" s="163"/>
      <c r="B713" s="163"/>
      <c r="C713" s="163"/>
      <c r="D713"/>
      <c r="E713"/>
      <c r="F713"/>
      <c r="G713"/>
      <c r="H713"/>
      <c r="I713"/>
      <c r="J713"/>
      <c r="K713"/>
      <c r="L713"/>
      <c r="M713"/>
      <c r="N713"/>
      <c r="O713"/>
      <c r="P713"/>
      <c r="Q713"/>
      <c r="R713"/>
      <c r="S713"/>
      <c r="T713"/>
      <c r="U713"/>
      <c r="V713"/>
      <c r="W713"/>
      <c r="X713"/>
      <c r="Y713"/>
      <c r="Z713"/>
      <c r="AA713"/>
      <c r="AB713"/>
      <c r="AC713"/>
      <c r="AD713"/>
      <c r="AE713"/>
      <c r="AF713"/>
      <c r="AG713"/>
    </row>
    <row r="714" spans="1:33" ht="12.75">
      <c r="A714" s="169" t="s">
        <v>708</v>
      </c>
      <c r="B714" s="163"/>
      <c r="C714" s="163"/>
      <c r="D714"/>
      <c r="E714"/>
      <c r="F714"/>
      <c r="G714"/>
      <c r="H714"/>
      <c r="I714"/>
      <c r="J714"/>
      <c r="K714"/>
      <c r="L714"/>
      <c r="M714"/>
      <c r="N714"/>
      <c r="O714"/>
      <c r="P714"/>
      <c r="Q714"/>
      <c r="R714"/>
      <c r="S714"/>
      <c r="T714"/>
      <c r="U714"/>
      <c r="V714"/>
      <c r="W714"/>
      <c r="X714"/>
      <c r="Y714"/>
      <c r="Z714"/>
      <c r="AA714"/>
      <c r="AB714"/>
      <c r="AC714"/>
      <c r="AD714"/>
      <c r="AE714"/>
      <c r="AF714"/>
      <c r="AG714"/>
    </row>
    <row r="715" spans="1:33" ht="12.75">
      <c r="A715" s="416">
        <v>36466</v>
      </c>
      <c r="B715" s="163"/>
      <c r="C715" s="163"/>
      <c r="D715"/>
      <c r="E715"/>
      <c r="F715"/>
      <c r="G715"/>
      <c r="H715"/>
      <c r="I715"/>
      <c r="J715"/>
      <c r="K715"/>
      <c r="L715"/>
      <c r="M715"/>
      <c r="N715"/>
      <c r="O715"/>
      <c r="P715"/>
      <c r="Q715"/>
      <c r="R715"/>
      <c r="S715"/>
      <c r="T715"/>
      <c r="U715"/>
      <c r="V715"/>
      <c r="W715"/>
      <c r="X715"/>
      <c r="Y715"/>
      <c r="Z715"/>
      <c r="AA715"/>
      <c r="AB715"/>
      <c r="AC715"/>
      <c r="AD715"/>
      <c r="AE715"/>
      <c r="AF715"/>
      <c r="AG715"/>
    </row>
    <row r="716" spans="1:33" ht="12.75">
      <c r="A716" s="164" t="s">
        <v>427</v>
      </c>
      <c r="B716" s="172">
        <v>36758.256009581353</v>
      </c>
      <c r="C716" s="163"/>
      <c r="D716"/>
      <c r="E716"/>
      <c r="F716"/>
      <c r="G716"/>
      <c r="H716"/>
      <c r="I716"/>
      <c r="J716"/>
      <c r="K716"/>
      <c r="L716"/>
      <c r="M716"/>
      <c r="N716"/>
      <c r="O716"/>
      <c r="P716"/>
      <c r="Q716"/>
      <c r="R716"/>
      <c r="S716"/>
      <c r="T716"/>
      <c r="U716"/>
      <c r="V716"/>
      <c r="W716"/>
      <c r="X716"/>
      <c r="Y716"/>
      <c r="Z716"/>
      <c r="AA716"/>
      <c r="AB716"/>
      <c r="AC716"/>
      <c r="AD716"/>
      <c r="AE716"/>
      <c r="AF716"/>
      <c r="AG716"/>
    </row>
    <row r="717" spans="1:33" ht="12.75">
      <c r="A717" s="165" t="s">
        <v>428</v>
      </c>
      <c r="B717" s="1174">
        <v>66619.23069138822</v>
      </c>
      <c r="C717" s="163"/>
      <c r="D717"/>
      <c r="E717"/>
      <c r="F717"/>
      <c r="G717"/>
      <c r="H717"/>
      <c r="I717"/>
      <c r="J717"/>
      <c r="K717"/>
      <c r="L717"/>
      <c r="M717"/>
      <c r="N717"/>
      <c r="O717"/>
      <c r="P717"/>
      <c r="Q717"/>
      <c r="R717"/>
      <c r="S717"/>
      <c r="T717"/>
      <c r="U717"/>
      <c r="V717"/>
      <c r="W717"/>
      <c r="X717"/>
      <c r="Y717"/>
      <c r="Z717"/>
      <c r="AA717"/>
      <c r="AB717"/>
      <c r="AC717"/>
      <c r="AD717"/>
      <c r="AE717"/>
      <c r="AF717"/>
      <c r="AG717"/>
    </row>
    <row r="718" spans="1:33" ht="12.75">
      <c r="A718" s="166" t="s">
        <v>429</v>
      </c>
      <c r="B718" s="580" t="s">
        <v>499</v>
      </c>
      <c r="C718" s="580" t="s">
        <v>500</v>
      </c>
      <c r="D718" s="582">
        <v>1999</v>
      </c>
      <c r="E718" s="583">
        <v>2000</v>
      </c>
      <c r="F718" s="583">
        <v>2001</v>
      </c>
      <c r="G718" s="583">
        <v>2002</v>
      </c>
      <c r="H718" s="583">
        <v>2003</v>
      </c>
      <c r="I718" s="583">
        <v>2004</v>
      </c>
      <c r="J718" s="583">
        <v>2005</v>
      </c>
      <c r="K718" s="583">
        <v>2006</v>
      </c>
      <c r="L718" s="583">
        <v>2007</v>
      </c>
      <c r="M718" s="583">
        <v>2008</v>
      </c>
      <c r="N718" s="583">
        <v>2009</v>
      </c>
      <c r="O718" s="584">
        <v>2010</v>
      </c>
      <c r="P718" s="171">
        <v>2011</v>
      </c>
      <c r="Q718" s="171">
        <v>2012</v>
      </c>
      <c r="R718" s="171">
        <v>2013</v>
      </c>
      <c r="S718" s="171">
        <v>2014</v>
      </c>
      <c r="T718" s="171">
        <v>2015</v>
      </c>
      <c r="U718" s="171">
        <v>2016</v>
      </c>
      <c r="V718" s="171">
        <v>2017</v>
      </c>
      <c r="W718" s="171">
        <v>2018</v>
      </c>
      <c r="X718" s="171">
        <v>2019</v>
      </c>
      <c r="Y718"/>
      <c r="Z718"/>
      <c r="AA718"/>
      <c r="AB718"/>
      <c r="AC718"/>
      <c r="AD718"/>
      <c r="AE718"/>
      <c r="AF718"/>
      <c r="AG718"/>
    </row>
    <row r="719" spans="1:33" ht="12.75">
      <c r="A719" s="166" t="s">
        <v>430</v>
      </c>
      <c r="B719" s="581">
        <f>NPV(0.1,D719:Y719)</f>
        <v>418867.16558122361</v>
      </c>
      <c r="C719" s="581">
        <f>B719-B708</f>
        <v>0</v>
      </c>
      <c r="D719" s="585">
        <v>26898.216959999994</v>
      </c>
      <c r="E719" s="586">
        <v>40079.915814977372</v>
      </c>
      <c r="F719" s="586">
        <v>40673.161342217194</v>
      </c>
      <c r="G719" s="586">
        <v>40731.64097768371</v>
      </c>
      <c r="H719" s="586">
        <v>47605.84011425489</v>
      </c>
      <c r="I719" s="586">
        <v>52769.765885234337</v>
      </c>
      <c r="J719" s="586">
        <v>53213.775120657876</v>
      </c>
      <c r="K719" s="586">
        <v>53653.259503785877</v>
      </c>
      <c r="L719" s="586">
        <v>54718.611193040255</v>
      </c>
      <c r="M719" s="586">
        <v>55165.928277364612</v>
      </c>
      <c r="N719" s="586">
        <v>56276.660029826366</v>
      </c>
      <c r="O719" s="587">
        <v>56731.133874277803</v>
      </c>
      <c r="P719" s="167">
        <v>57888.82179464693</v>
      </c>
      <c r="Q719" s="167">
        <v>58349.665078533413</v>
      </c>
      <c r="R719" s="167">
        <v>58802.386402713681</v>
      </c>
      <c r="S719" s="167">
        <v>59246.083690649852</v>
      </c>
      <c r="T719" s="167">
        <v>59679.808050975516</v>
      </c>
      <c r="U719" s="167">
        <v>60102.561780474927</v>
      </c>
      <c r="V719" s="167">
        <v>60513.296289374215</v>
      </c>
      <c r="W719" s="167">
        <v>60910.909946080785</v>
      </c>
      <c r="X719" s="167">
        <v>61294.245838405084</v>
      </c>
      <c r="Y719"/>
      <c r="Z719"/>
      <c r="AA719"/>
      <c r="AB719"/>
      <c r="AC719"/>
      <c r="AD719"/>
      <c r="AE719"/>
      <c r="AF719"/>
      <c r="AG719"/>
    </row>
    <row r="720" spans="1:33" ht="12.75">
      <c r="A720" s="168" t="s">
        <v>431</v>
      </c>
      <c r="B720" s="581">
        <f>NPV(0.1,D720:Y720)</f>
        <v>196859.28644348239</v>
      </c>
      <c r="C720" s="581">
        <f>B720-B709</f>
        <v>0</v>
      </c>
      <c r="D720" s="585">
        <v>18832.90043852941</v>
      </c>
      <c r="E720" s="586">
        <v>20833.746597600508</v>
      </c>
      <c r="F720" s="586">
        <v>21171.657137494145</v>
      </c>
      <c r="G720" s="586">
        <v>21276.468052824974</v>
      </c>
      <c r="H720" s="586">
        <v>22525.956422173054</v>
      </c>
      <c r="I720" s="586">
        <v>23310.689678366256</v>
      </c>
      <c r="J720" s="586">
        <v>23440.394969516696</v>
      </c>
      <c r="K720" s="586">
        <v>23568.879122384467</v>
      </c>
      <c r="L720" s="586">
        <v>23701.707275084602</v>
      </c>
      <c r="M720" s="586">
        <v>23839.009747612065</v>
      </c>
      <c r="N720" s="586">
        <v>23975.482155713609</v>
      </c>
      <c r="O720" s="587">
        <v>24899.861763841327</v>
      </c>
      <c r="P720" s="167">
        <v>24986.145435600934</v>
      </c>
      <c r="Q720" s="167">
        <v>25061.149152200756</v>
      </c>
      <c r="R720" s="167">
        <v>25141.339831776539</v>
      </c>
      <c r="S720" s="167">
        <v>25226.873083217539</v>
      </c>
      <c r="T720" s="167">
        <v>25285.277500591339</v>
      </c>
      <c r="U720" s="167">
        <v>25333.034010912765</v>
      </c>
      <c r="V720" s="167">
        <v>25386.628493760763</v>
      </c>
      <c r="W720" s="167">
        <v>25544.131137576311</v>
      </c>
      <c r="X720" s="167">
        <v>25756.774811077881</v>
      </c>
      <c r="Y720"/>
      <c r="Z720"/>
      <c r="AA720"/>
      <c r="AB720"/>
      <c r="AC720"/>
      <c r="AD720"/>
      <c r="AE720"/>
      <c r="AF720"/>
      <c r="AG720"/>
    </row>
    <row r="721" spans="1:33" ht="12.75">
      <c r="A721" s="168" t="s">
        <v>34</v>
      </c>
      <c r="B721" s="581">
        <f>NPV(0.1,D721:Y721)</f>
        <v>80561.248941234182</v>
      </c>
      <c r="C721" s="581">
        <f>B721-B710</f>
        <v>0.49077227062662132</v>
      </c>
      <c r="D721" s="585">
        <v>-1906.7971565188977</v>
      </c>
      <c r="E721" s="586">
        <v>3428.8258559518413</v>
      </c>
      <c r="F721" s="586">
        <v>3753.2804090716877</v>
      </c>
      <c r="G721" s="586">
        <v>4003.1813370890227</v>
      </c>
      <c r="H721" s="586">
        <v>7880.3591163837909</v>
      </c>
      <c r="I721" s="586">
        <v>10976.981205871138</v>
      </c>
      <c r="J721" s="586">
        <v>11584.547279746301</v>
      </c>
      <c r="K721" s="586">
        <v>12038.901645134312</v>
      </c>
      <c r="L721" s="586">
        <v>12881.844035179336</v>
      </c>
      <c r="M721" s="586">
        <v>13498.852236223725</v>
      </c>
      <c r="N721" s="586">
        <v>14645.007439180436</v>
      </c>
      <c r="O721" s="587">
        <v>14480.068381496956</v>
      </c>
      <c r="P721" s="167">
        <v>15310.99895218229</v>
      </c>
      <c r="Q721" s="167">
        <v>15713.301629766796</v>
      </c>
      <c r="R721" s="167">
        <v>16107.283319348107</v>
      </c>
      <c r="S721" s="167">
        <v>16492.282736165569</v>
      </c>
      <c r="T721" s="167">
        <v>16888.008347373012</v>
      </c>
      <c r="U721" s="167">
        <v>17444.600731250946</v>
      </c>
      <c r="V721" s="167">
        <v>18054.455881413698</v>
      </c>
      <c r="W721" s="167">
        <v>18687.783425629656</v>
      </c>
      <c r="X721" s="167">
        <v>19356.210400660482</v>
      </c>
      <c r="Y721"/>
      <c r="Z721"/>
      <c r="AA721"/>
      <c r="AB721"/>
      <c r="AC721"/>
      <c r="AD721"/>
      <c r="AE721"/>
      <c r="AF721"/>
      <c r="AG721"/>
    </row>
    <row r="722" spans="1:33" ht="12.75">
      <c r="A722" s="168" t="s">
        <v>31</v>
      </c>
      <c r="B722" s="581">
        <f>NPV(0.1,D722:Y722)</f>
        <v>83729.670823267807</v>
      </c>
      <c r="C722" s="581">
        <f>B722-B711</f>
        <v>-0.23901378503069282</v>
      </c>
      <c r="D722" s="588">
        <v>-5718.3348220110347</v>
      </c>
      <c r="E722" s="589">
        <v>3460.107103552511</v>
      </c>
      <c r="F722" s="589">
        <v>4742.339579585956</v>
      </c>
      <c r="G722" s="589">
        <v>3400.6374387233409</v>
      </c>
      <c r="H722" s="589">
        <v>13149.967850536734</v>
      </c>
      <c r="I722" s="589">
        <v>16722.916669548995</v>
      </c>
      <c r="J722" s="589">
        <v>12532.013118460172</v>
      </c>
      <c r="K722" s="589">
        <v>12982.897076229114</v>
      </c>
      <c r="L722" s="589">
        <v>10327.399260045142</v>
      </c>
      <c r="M722" s="589">
        <v>8565.8976673185298</v>
      </c>
      <c r="N722" s="589">
        <v>18432.974050198172</v>
      </c>
      <c r="O722" s="590">
        <v>18419.085592865056</v>
      </c>
      <c r="P722" s="167">
        <v>18401.390810871322</v>
      </c>
      <c r="Q722" s="167">
        <v>18793.01785314062</v>
      </c>
      <c r="R722" s="167">
        <v>19181.35933649294</v>
      </c>
      <c r="S722" s="167">
        <v>17868.5319157554</v>
      </c>
      <c r="T722" s="167">
        <v>13311.312506319451</v>
      </c>
      <c r="U722" s="167">
        <v>12542.237798653186</v>
      </c>
      <c r="V722" s="167">
        <v>11238.842948815935</v>
      </c>
      <c r="W722" s="167">
        <v>10694.565542297074</v>
      </c>
      <c r="X722" s="167">
        <v>22218.693213866733</v>
      </c>
      <c r="Y722"/>
      <c r="Z722"/>
      <c r="AA722"/>
      <c r="AB722"/>
      <c r="AC722"/>
      <c r="AD722"/>
      <c r="AE722"/>
      <c r="AF722"/>
      <c r="AG722"/>
    </row>
    <row r="723" spans="1:33" ht="12.75">
      <c r="A723" s="163"/>
      <c r="B723" s="163"/>
      <c r="C723" s="163"/>
      <c r="D723"/>
      <c r="E723"/>
      <c r="F723"/>
      <c r="G723"/>
      <c r="H723"/>
      <c r="I723"/>
      <c r="J723"/>
      <c r="K723"/>
      <c r="L723"/>
      <c r="M723"/>
      <c r="N723"/>
      <c r="O723"/>
      <c r="P723"/>
      <c r="Q723"/>
      <c r="R723"/>
      <c r="S723"/>
      <c r="T723"/>
      <c r="U723"/>
      <c r="V723"/>
      <c r="W723"/>
      <c r="X723"/>
      <c r="Y723"/>
      <c r="Z723"/>
      <c r="AA723"/>
      <c r="AB723"/>
      <c r="AC723"/>
      <c r="AD723"/>
      <c r="AE723"/>
      <c r="AF723"/>
      <c r="AG723"/>
    </row>
    <row r="724" spans="1:33" ht="12.75">
      <c r="A724" s="163"/>
      <c r="B724" s="163"/>
      <c r="C724" s="163"/>
      <c r="D724"/>
      <c r="E724"/>
      <c r="F724"/>
      <c r="G724"/>
      <c r="H724"/>
      <c r="I724"/>
      <c r="J724"/>
      <c r="K724"/>
      <c r="L724"/>
      <c r="M724"/>
      <c r="N724"/>
      <c r="O724"/>
      <c r="P724"/>
      <c r="Q724"/>
      <c r="R724"/>
      <c r="S724"/>
      <c r="T724"/>
      <c r="U724"/>
      <c r="V724"/>
      <c r="W724"/>
      <c r="X724"/>
      <c r="Y724"/>
      <c r="Z724"/>
      <c r="AA724"/>
      <c r="AB724"/>
      <c r="AC724"/>
      <c r="AD724"/>
      <c r="AE724"/>
      <c r="AF724"/>
      <c r="AG724"/>
    </row>
    <row r="725" spans="1:33" ht="12.75">
      <c r="A725" s="169" t="s">
        <v>709</v>
      </c>
      <c r="B725" s="163"/>
      <c r="C725" s="163"/>
      <c r="D725"/>
      <c r="E725"/>
      <c r="F725"/>
      <c r="G725"/>
      <c r="H725"/>
      <c r="I725"/>
      <c r="J725"/>
      <c r="K725"/>
      <c r="L725"/>
      <c r="M725"/>
      <c r="N725"/>
      <c r="O725"/>
      <c r="P725"/>
      <c r="Q725"/>
      <c r="R725"/>
      <c r="S725"/>
      <c r="T725"/>
      <c r="U725"/>
      <c r="V725"/>
      <c r="W725"/>
      <c r="X725"/>
      <c r="Y725"/>
      <c r="Z725"/>
      <c r="AA725"/>
      <c r="AB725"/>
      <c r="AC725"/>
      <c r="AD725"/>
      <c r="AE725"/>
      <c r="AF725"/>
      <c r="AG725"/>
    </row>
    <row r="726" spans="1:33" ht="12.75">
      <c r="A726" s="416">
        <v>36481</v>
      </c>
      <c r="B726" s="163"/>
      <c r="C726" s="163"/>
      <c r="D726"/>
      <c r="E726"/>
      <c r="F726"/>
      <c r="G726"/>
      <c r="H726"/>
      <c r="I726"/>
      <c r="J726"/>
      <c r="K726"/>
      <c r="L726"/>
      <c r="M726"/>
      <c r="N726"/>
      <c r="O726"/>
      <c r="P726"/>
      <c r="Q726"/>
      <c r="R726"/>
      <c r="S726"/>
      <c r="T726"/>
      <c r="U726"/>
      <c r="V726"/>
      <c r="W726"/>
      <c r="X726"/>
      <c r="Y726"/>
      <c r="Z726"/>
      <c r="AA726"/>
      <c r="AB726"/>
      <c r="AC726"/>
      <c r="AD726"/>
      <c r="AE726"/>
      <c r="AF726"/>
      <c r="AG726"/>
    </row>
    <row r="727" spans="1:33" ht="12.75">
      <c r="A727" s="164" t="s">
        <v>427</v>
      </c>
      <c r="B727" s="172">
        <v>36749.880155324528</v>
      </c>
      <c r="C727" s="163"/>
      <c r="D727"/>
      <c r="E727"/>
      <c r="F727"/>
      <c r="G727"/>
      <c r="H727"/>
      <c r="I727"/>
      <c r="J727"/>
      <c r="K727"/>
      <c r="L727"/>
      <c r="M727"/>
      <c r="N727"/>
      <c r="O727"/>
      <c r="P727"/>
      <c r="Q727"/>
      <c r="R727"/>
      <c r="S727"/>
      <c r="T727"/>
      <c r="U727"/>
      <c r="V727"/>
      <c r="W727"/>
      <c r="X727"/>
      <c r="Y727"/>
      <c r="Z727"/>
      <c r="AA727"/>
      <c r="AB727"/>
      <c r="AC727"/>
      <c r="AD727"/>
      <c r="AE727"/>
      <c r="AF727"/>
      <c r="AG727"/>
    </row>
    <row r="728" spans="1:33" ht="12.75">
      <c r="A728" s="165" t="s">
        <v>428</v>
      </c>
      <c r="B728" s="1174">
        <v>66608.669691388233</v>
      </c>
      <c r="C728" s="163"/>
      <c r="D728"/>
      <c r="E728"/>
      <c r="F728"/>
      <c r="G728"/>
      <c r="H728"/>
      <c r="I728"/>
      <c r="J728"/>
      <c r="K728"/>
      <c r="L728"/>
      <c r="M728"/>
      <c r="N728"/>
      <c r="O728"/>
      <c r="P728"/>
      <c r="Q728"/>
      <c r="R728"/>
      <c r="S728"/>
      <c r="T728"/>
      <c r="U728"/>
      <c r="V728"/>
      <c r="W728"/>
      <c r="X728"/>
      <c r="Y728"/>
      <c r="Z728"/>
      <c r="AA728"/>
      <c r="AB728"/>
      <c r="AC728"/>
      <c r="AD728"/>
      <c r="AE728"/>
      <c r="AF728"/>
      <c r="AG728"/>
    </row>
    <row r="729" spans="1:33" ht="12.75">
      <c r="A729" s="166" t="s">
        <v>429</v>
      </c>
      <c r="B729" s="580" t="s">
        <v>499</v>
      </c>
      <c r="C729" s="580" t="s">
        <v>500</v>
      </c>
      <c r="D729" s="582">
        <v>1999</v>
      </c>
      <c r="E729" s="583">
        <v>2000</v>
      </c>
      <c r="F729" s="583">
        <v>2001</v>
      </c>
      <c r="G729" s="583">
        <v>2002</v>
      </c>
      <c r="H729" s="583">
        <v>2003</v>
      </c>
      <c r="I729" s="583">
        <v>2004</v>
      </c>
      <c r="J729" s="583">
        <v>2005</v>
      </c>
      <c r="K729" s="583">
        <v>2006</v>
      </c>
      <c r="L729" s="583">
        <v>2007</v>
      </c>
      <c r="M729" s="583">
        <v>2008</v>
      </c>
      <c r="N729" s="583">
        <v>2009</v>
      </c>
      <c r="O729" s="584">
        <v>2010</v>
      </c>
      <c r="P729" s="171">
        <v>2011</v>
      </c>
      <c r="Q729" s="171">
        <v>2012</v>
      </c>
      <c r="R729" s="171">
        <v>2013</v>
      </c>
      <c r="S729" s="171">
        <v>2014</v>
      </c>
      <c r="T729" s="171">
        <v>2015</v>
      </c>
      <c r="U729" s="171">
        <v>2016</v>
      </c>
      <c r="V729" s="171">
        <v>2017</v>
      </c>
      <c r="W729" s="171">
        <v>2018</v>
      </c>
      <c r="X729" s="171">
        <v>2019</v>
      </c>
      <c r="Y729"/>
      <c r="Z729"/>
      <c r="AA729"/>
      <c r="AB729"/>
      <c r="AC729"/>
      <c r="AD729"/>
      <c r="AE729"/>
      <c r="AF729"/>
      <c r="AG729"/>
    </row>
    <row r="730" spans="1:33" ht="12.75">
      <c r="A730" s="166" t="s">
        <v>430</v>
      </c>
      <c r="B730" s="581">
        <f>NPV(0.1,D730:Y730)</f>
        <v>418867.16558122361</v>
      </c>
      <c r="C730" s="581">
        <f>B730-B719</f>
        <v>0</v>
      </c>
      <c r="D730" s="585">
        <v>26898.216959999994</v>
      </c>
      <c r="E730" s="586">
        <v>40079.915814977372</v>
      </c>
      <c r="F730" s="586">
        <v>40673.161342217194</v>
      </c>
      <c r="G730" s="586">
        <v>40731.64097768371</v>
      </c>
      <c r="H730" s="586">
        <v>47605.84011425489</v>
      </c>
      <c r="I730" s="586">
        <v>52769.765885234337</v>
      </c>
      <c r="J730" s="586">
        <v>53213.775120657876</v>
      </c>
      <c r="K730" s="586">
        <v>53653.259503785877</v>
      </c>
      <c r="L730" s="586">
        <v>54718.611193040255</v>
      </c>
      <c r="M730" s="586">
        <v>55165.928277364612</v>
      </c>
      <c r="N730" s="586">
        <v>56276.660029826366</v>
      </c>
      <c r="O730" s="587">
        <v>56731.133874277803</v>
      </c>
      <c r="P730" s="167">
        <v>57888.82179464693</v>
      </c>
      <c r="Q730" s="167">
        <v>58349.665078533413</v>
      </c>
      <c r="R730" s="167">
        <v>58802.386402713681</v>
      </c>
      <c r="S730" s="167">
        <v>59246.083690649852</v>
      </c>
      <c r="T730" s="167">
        <v>59679.808050975516</v>
      </c>
      <c r="U730" s="167">
        <v>60102.561780474927</v>
      </c>
      <c r="V730" s="167">
        <v>60513.296289374215</v>
      </c>
      <c r="W730" s="167">
        <v>60910.909946080785</v>
      </c>
      <c r="X730" s="167">
        <v>61294.245838405084</v>
      </c>
      <c r="Y730"/>
      <c r="Z730"/>
      <c r="AA730"/>
      <c r="AB730"/>
      <c r="AC730"/>
      <c r="AD730"/>
      <c r="AE730"/>
      <c r="AF730"/>
      <c r="AG730"/>
    </row>
    <row r="731" spans="1:33" ht="12.75">
      <c r="A731" s="168" t="s">
        <v>431</v>
      </c>
      <c r="B731" s="581">
        <f>NPV(0.1,D731:Y731)</f>
        <v>196859.28644348239</v>
      </c>
      <c r="C731" s="581">
        <f>B731-B720</f>
        <v>0</v>
      </c>
      <c r="D731" s="585">
        <v>18832.90043852941</v>
      </c>
      <c r="E731" s="586">
        <v>20833.746597600508</v>
      </c>
      <c r="F731" s="586">
        <v>21171.657137494145</v>
      </c>
      <c r="G731" s="586">
        <v>21276.468052824974</v>
      </c>
      <c r="H731" s="586">
        <v>22525.956422173054</v>
      </c>
      <c r="I731" s="586">
        <v>23310.689678366256</v>
      </c>
      <c r="J731" s="586">
        <v>23440.394969516696</v>
      </c>
      <c r="K731" s="586">
        <v>23568.879122384467</v>
      </c>
      <c r="L731" s="586">
        <v>23701.707275084602</v>
      </c>
      <c r="M731" s="586">
        <v>23839.009747612065</v>
      </c>
      <c r="N731" s="586">
        <v>23975.482155713609</v>
      </c>
      <c r="O731" s="587">
        <v>24899.861763841327</v>
      </c>
      <c r="P731" s="167">
        <v>24986.145435600934</v>
      </c>
      <c r="Q731" s="167">
        <v>25061.149152200756</v>
      </c>
      <c r="R731" s="167">
        <v>25141.339831776539</v>
      </c>
      <c r="S731" s="167">
        <v>25226.873083217539</v>
      </c>
      <c r="T731" s="167">
        <v>25285.277500591339</v>
      </c>
      <c r="U731" s="167">
        <v>25333.034010912765</v>
      </c>
      <c r="V731" s="167">
        <v>25386.628493760763</v>
      </c>
      <c r="W731" s="167">
        <v>25544.131137576311</v>
      </c>
      <c r="X731" s="167">
        <v>25756.774811077881</v>
      </c>
      <c r="Y731"/>
      <c r="Z731"/>
      <c r="AA731"/>
      <c r="AB731"/>
      <c r="AC731"/>
      <c r="AD731"/>
      <c r="AE731"/>
      <c r="AF731"/>
      <c r="AG731"/>
    </row>
    <row r="732" spans="1:33" ht="12.75">
      <c r="A732" s="168" t="s">
        <v>34</v>
      </c>
      <c r="B732" s="581">
        <f>NPV(0.1,D732:Y732)</f>
        <v>80556.566876238576</v>
      </c>
      <c r="C732" s="581">
        <f>B732-B721</f>
        <v>-4.682064995606197</v>
      </c>
      <c r="D732" s="585">
        <v>-1907.340607977231</v>
      </c>
      <c r="E732" s="586">
        <v>3427.5215724518416</v>
      </c>
      <c r="F732" s="586">
        <v>3751.976125571688</v>
      </c>
      <c r="G732" s="586">
        <v>4001.877053589023</v>
      </c>
      <c r="H732" s="586">
        <v>7879.0548328837885</v>
      </c>
      <c r="I732" s="586">
        <v>10976.22037382947</v>
      </c>
      <c r="J732" s="586">
        <v>11584.547279746301</v>
      </c>
      <c r="K732" s="586">
        <v>12038.901645134312</v>
      </c>
      <c r="L732" s="586">
        <v>12881.844035179336</v>
      </c>
      <c r="M732" s="586">
        <v>13498.852236223725</v>
      </c>
      <c r="N732" s="586">
        <v>14645.007439180436</v>
      </c>
      <c r="O732" s="587">
        <v>14480.068381496956</v>
      </c>
      <c r="P732" s="167">
        <v>15310.99895218229</v>
      </c>
      <c r="Q732" s="167">
        <v>15713.301629766796</v>
      </c>
      <c r="R732" s="167">
        <v>16107.283319348107</v>
      </c>
      <c r="S732" s="167">
        <v>16492.282736165569</v>
      </c>
      <c r="T732" s="167">
        <v>16888.008347373012</v>
      </c>
      <c r="U732" s="167">
        <v>17444.600731250946</v>
      </c>
      <c r="V732" s="167">
        <v>18054.455881413698</v>
      </c>
      <c r="W732" s="167">
        <v>18687.783425629656</v>
      </c>
      <c r="X732" s="167">
        <v>19356.210400660482</v>
      </c>
      <c r="Y732"/>
      <c r="Z732"/>
      <c r="AA732"/>
      <c r="AB732"/>
      <c r="AC732"/>
      <c r="AD732"/>
      <c r="AE732"/>
      <c r="AF732"/>
      <c r="AG732"/>
    </row>
    <row r="733" spans="1:33" ht="12.75">
      <c r="A733" s="168" t="s">
        <v>31</v>
      </c>
      <c r="B733" s="581">
        <f>NPV(0.1,D733:Y733)</f>
        <v>83731.951062277367</v>
      </c>
      <c r="C733" s="581">
        <f>B733-B722</f>
        <v>2.2802390095603187</v>
      </c>
      <c r="D733" s="588">
        <v>-5718.3348220110347</v>
      </c>
      <c r="E733" s="589">
        <v>3460.107103552511</v>
      </c>
      <c r="F733" s="589">
        <v>4742.339579585956</v>
      </c>
      <c r="G733" s="589">
        <v>3400.6374387233409</v>
      </c>
      <c r="H733" s="589">
        <v>13149.967850536726</v>
      </c>
      <c r="I733" s="589">
        <v>16726.956252049</v>
      </c>
      <c r="J733" s="589">
        <v>12532.013118460172</v>
      </c>
      <c r="K733" s="589">
        <v>12982.897076229114</v>
      </c>
      <c r="L733" s="589">
        <v>10327.399260045142</v>
      </c>
      <c r="M733" s="589">
        <v>8565.8976673185298</v>
      </c>
      <c r="N733" s="589">
        <v>18432.974050198172</v>
      </c>
      <c r="O733" s="590">
        <v>18419.085592865056</v>
      </c>
      <c r="P733" s="167">
        <v>18401.390810871322</v>
      </c>
      <c r="Q733" s="167">
        <v>18793.01785314062</v>
      </c>
      <c r="R733" s="167">
        <v>19181.35933649294</v>
      </c>
      <c r="S733" s="167">
        <v>17868.5319157554</v>
      </c>
      <c r="T733" s="167">
        <v>13311.312506319451</v>
      </c>
      <c r="U733" s="167">
        <v>12542.237798653186</v>
      </c>
      <c r="V733" s="167">
        <v>11238.842948815935</v>
      </c>
      <c r="W733" s="167">
        <v>10694.565542297074</v>
      </c>
      <c r="X733" s="167">
        <v>22218.693213866733</v>
      </c>
      <c r="Y733"/>
      <c r="Z733"/>
      <c r="AA733"/>
      <c r="AB733"/>
      <c r="AC733"/>
      <c r="AD733"/>
      <c r="AE733"/>
      <c r="AF733"/>
      <c r="AG733"/>
    </row>
    <row r="734" spans="1:33" ht="12.75">
      <c r="A734" s="163"/>
      <c r="B734" s="163"/>
      <c r="C734" s="163"/>
      <c r="D734"/>
      <c r="E734"/>
      <c r="F734"/>
      <c r="G734"/>
      <c r="H734"/>
      <c r="I734"/>
      <c r="J734"/>
      <c r="K734"/>
      <c r="L734"/>
      <c r="M734"/>
      <c r="N734"/>
      <c r="O734"/>
      <c r="P734"/>
      <c r="Q734"/>
      <c r="R734"/>
      <c r="S734"/>
      <c r="T734"/>
      <c r="U734"/>
      <c r="V734"/>
      <c r="W734"/>
      <c r="X734"/>
      <c r="Y734"/>
      <c r="Z734"/>
      <c r="AA734"/>
      <c r="AB734"/>
      <c r="AC734"/>
      <c r="AD734"/>
      <c r="AE734"/>
      <c r="AF734"/>
      <c r="AG734"/>
    </row>
    <row r="735" spans="1:33" ht="12.75">
      <c r="A735" s="163"/>
      <c r="B735" s="163"/>
      <c r="C735" s="163"/>
      <c r="D735"/>
      <c r="E735"/>
      <c r="F735"/>
      <c r="G735"/>
      <c r="H735"/>
      <c r="I735"/>
      <c r="J735"/>
      <c r="K735"/>
      <c r="L735"/>
      <c r="M735"/>
      <c r="N735"/>
      <c r="O735"/>
      <c r="P735"/>
      <c r="Q735"/>
      <c r="R735"/>
      <c r="S735"/>
      <c r="T735"/>
      <c r="U735"/>
      <c r="V735"/>
      <c r="W735"/>
      <c r="X735"/>
      <c r="Y735"/>
      <c r="Z735"/>
      <c r="AA735"/>
      <c r="AB735"/>
      <c r="AC735"/>
      <c r="AD735"/>
      <c r="AE735"/>
      <c r="AF735"/>
      <c r="AG735"/>
    </row>
    <row r="736" spans="1:33" ht="12.75">
      <c r="A736" s="169" t="s">
        <v>711</v>
      </c>
      <c r="B736" s="163"/>
      <c r="C736" s="163"/>
      <c r="D736"/>
      <c r="E736"/>
      <c r="F736"/>
      <c r="G736"/>
      <c r="H736"/>
      <c r="I736"/>
      <c r="J736"/>
      <c r="K736"/>
      <c r="L736"/>
      <c r="M736"/>
      <c r="N736"/>
      <c r="O736"/>
      <c r="P736"/>
      <c r="Q736"/>
      <c r="R736"/>
      <c r="S736"/>
      <c r="T736"/>
      <c r="U736"/>
      <c r="V736"/>
      <c r="W736"/>
      <c r="X736"/>
      <c r="Y736"/>
      <c r="Z736"/>
      <c r="AA736"/>
      <c r="AB736"/>
      <c r="AC736"/>
      <c r="AD736"/>
      <c r="AE736"/>
      <c r="AF736"/>
      <c r="AG736"/>
    </row>
    <row r="737" spans="1:33" ht="12.75">
      <c r="A737" s="416">
        <v>36494</v>
      </c>
      <c r="B737" s="163"/>
      <c r="C737" s="163"/>
      <c r="D737"/>
      <c r="E737"/>
      <c r="F737"/>
      <c r="G737"/>
      <c r="H737"/>
      <c r="I737"/>
      <c r="J737"/>
      <c r="K737"/>
      <c r="L737"/>
      <c r="M737"/>
      <c r="N737"/>
      <c r="O737"/>
      <c r="P737"/>
      <c r="Q737"/>
      <c r="R737"/>
      <c r="S737"/>
      <c r="T737"/>
      <c r="U737"/>
      <c r="V737"/>
      <c r="W737"/>
      <c r="X737"/>
      <c r="Y737"/>
      <c r="Z737"/>
      <c r="AA737"/>
      <c r="AB737"/>
      <c r="AC737"/>
      <c r="AD737"/>
      <c r="AE737"/>
      <c r="AF737"/>
      <c r="AG737"/>
    </row>
    <row r="738" spans="1:33" ht="12.75">
      <c r="A738" s="164" t="s">
        <v>427</v>
      </c>
      <c r="B738" s="172">
        <v>37012.890383406535</v>
      </c>
      <c r="C738" s="163"/>
      <c r="D738"/>
      <c r="E738"/>
      <c r="F738"/>
      <c r="G738"/>
      <c r="H738"/>
      <c r="I738"/>
      <c r="J738"/>
      <c r="K738"/>
      <c r="L738"/>
      <c r="M738"/>
      <c r="N738"/>
      <c r="O738"/>
      <c r="P738"/>
      <c r="Q738"/>
      <c r="R738"/>
      <c r="S738"/>
      <c r="T738"/>
      <c r="U738"/>
      <c r="V738"/>
      <c r="W738"/>
      <c r="X738"/>
      <c r="Y738"/>
      <c r="Z738"/>
      <c r="AA738"/>
      <c r="AB738"/>
      <c r="AC738"/>
      <c r="AD738"/>
      <c r="AE738"/>
      <c r="AF738"/>
      <c r="AG738"/>
    </row>
    <row r="739" spans="1:33" ht="12.75">
      <c r="A739" s="165" t="s">
        <v>428</v>
      </c>
      <c r="B739" s="1174">
        <v>66900.848546092093</v>
      </c>
      <c r="C739" s="163"/>
      <c r="D739"/>
      <c r="E739"/>
      <c r="F739"/>
      <c r="G739"/>
      <c r="H739"/>
      <c r="I739"/>
      <c r="J739"/>
      <c r="K739"/>
      <c r="L739"/>
      <c r="M739"/>
      <c r="N739"/>
      <c r="O739"/>
      <c r="P739"/>
      <c r="Q739"/>
      <c r="R739"/>
      <c r="S739"/>
      <c r="T739"/>
      <c r="U739"/>
      <c r="V739"/>
      <c r="W739"/>
      <c r="X739"/>
      <c r="Y739"/>
      <c r="Z739"/>
      <c r="AA739"/>
      <c r="AB739"/>
      <c r="AC739"/>
      <c r="AD739"/>
      <c r="AE739"/>
      <c r="AF739"/>
      <c r="AG739"/>
    </row>
    <row r="740" spans="1:33" ht="12.75">
      <c r="A740" s="166" t="s">
        <v>429</v>
      </c>
      <c r="B740" s="580" t="s">
        <v>499</v>
      </c>
      <c r="C740" s="580" t="s">
        <v>500</v>
      </c>
      <c r="D740" s="582">
        <v>1999</v>
      </c>
      <c r="E740" s="583">
        <v>2000</v>
      </c>
      <c r="F740" s="583">
        <v>2001</v>
      </c>
      <c r="G740" s="583">
        <v>2002</v>
      </c>
      <c r="H740" s="583">
        <v>2003</v>
      </c>
      <c r="I740" s="583">
        <v>2004</v>
      </c>
      <c r="J740" s="583">
        <v>2005</v>
      </c>
      <c r="K740" s="583">
        <v>2006</v>
      </c>
      <c r="L740" s="583">
        <v>2007</v>
      </c>
      <c r="M740" s="583">
        <v>2008</v>
      </c>
      <c r="N740" s="583">
        <v>2009</v>
      </c>
      <c r="O740" s="584">
        <v>2010</v>
      </c>
      <c r="P740" s="171">
        <v>2011</v>
      </c>
      <c r="Q740" s="171">
        <v>2012</v>
      </c>
      <c r="R740" s="171">
        <v>2013</v>
      </c>
      <c r="S740" s="171">
        <v>2014</v>
      </c>
      <c r="T740" s="171">
        <v>2015</v>
      </c>
      <c r="U740" s="171">
        <v>2016</v>
      </c>
      <c r="V740" s="171">
        <v>2017</v>
      </c>
      <c r="W740" s="171">
        <v>2018</v>
      </c>
      <c r="X740" s="171">
        <v>2019</v>
      </c>
      <c r="Y740"/>
      <c r="Z740"/>
      <c r="AA740"/>
      <c r="AB740"/>
      <c r="AC740"/>
      <c r="AD740"/>
      <c r="AE740"/>
      <c r="AF740"/>
      <c r="AG740"/>
    </row>
    <row r="741" spans="1:33" ht="12.75">
      <c r="A741" s="166" t="s">
        <v>430</v>
      </c>
      <c r="B741" s="581">
        <f>NPV(0.1,D741:Y741)</f>
        <v>418867.16558122361</v>
      </c>
      <c r="C741" s="581">
        <f>B741-B730</f>
        <v>0</v>
      </c>
      <c r="D741" s="585">
        <v>26898.216959999994</v>
      </c>
      <c r="E741" s="586">
        <v>40079.915814977372</v>
      </c>
      <c r="F741" s="586">
        <v>40673.161342217194</v>
      </c>
      <c r="G741" s="586">
        <v>40731.64097768371</v>
      </c>
      <c r="H741" s="586">
        <v>47605.84011425489</v>
      </c>
      <c r="I741" s="586">
        <v>52769.765885234337</v>
      </c>
      <c r="J741" s="586">
        <v>53213.775120657876</v>
      </c>
      <c r="K741" s="586">
        <v>53653.259503785877</v>
      </c>
      <c r="L741" s="586">
        <v>54718.611193040255</v>
      </c>
      <c r="M741" s="586">
        <v>55165.928277364612</v>
      </c>
      <c r="N741" s="586">
        <v>56276.660029826366</v>
      </c>
      <c r="O741" s="587">
        <v>56731.133874277803</v>
      </c>
      <c r="P741" s="167">
        <v>57888.82179464693</v>
      </c>
      <c r="Q741" s="167">
        <v>58349.665078533413</v>
      </c>
      <c r="R741" s="167">
        <v>58802.386402713681</v>
      </c>
      <c r="S741" s="167">
        <v>59246.083690649852</v>
      </c>
      <c r="T741" s="167">
        <v>59679.808050975516</v>
      </c>
      <c r="U741" s="167">
        <v>60102.561780474927</v>
      </c>
      <c r="V741" s="167">
        <v>60513.296289374215</v>
      </c>
      <c r="W741" s="167">
        <v>60910.909946080785</v>
      </c>
      <c r="X741" s="167">
        <v>61294.245838405084</v>
      </c>
      <c r="Y741"/>
      <c r="Z741"/>
      <c r="AA741"/>
      <c r="AB741"/>
      <c r="AC741"/>
      <c r="AD741"/>
      <c r="AE741"/>
      <c r="AF741"/>
      <c r="AG741"/>
    </row>
    <row r="742" spans="1:33" ht="12.75">
      <c r="A742" s="168" t="s">
        <v>431</v>
      </c>
      <c r="B742" s="581">
        <f>NPV(0.1,D742:Y742)</f>
        <v>196948.66441769307</v>
      </c>
      <c r="C742" s="581">
        <f>B742-B731</f>
        <v>89.377974210685352</v>
      </c>
      <c r="D742" s="585">
        <v>18832.90043852941</v>
      </c>
      <c r="E742" s="586">
        <v>20844.487525016189</v>
      </c>
      <c r="F742" s="586">
        <v>21182.181076477184</v>
      </c>
      <c r="G742" s="586">
        <v>21286.775003375376</v>
      </c>
      <c r="H742" s="586">
        <v>22536.046384290814</v>
      </c>
      <c r="I742" s="586">
        <v>23320.562652051376</v>
      </c>
      <c r="J742" s="586">
        <v>23450.050954769176</v>
      </c>
      <c r="K742" s="586">
        <v>23578.209624987991</v>
      </c>
      <c r="L742" s="586">
        <v>23710.712295039164</v>
      </c>
      <c r="M742" s="586">
        <v>23847.689284917666</v>
      </c>
      <c r="N742" s="586">
        <v>23983.727716153928</v>
      </c>
      <c r="O742" s="587">
        <v>24923.296514566449</v>
      </c>
      <c r="P742" s="167">
        <v>25007.952773081255</v>
      </c>
      <c r="Q742" s="167">
        <v>25081.003593787318</v>
      </c>
      <c r="R742" s="167">
        <v>25159.241377469338</v>
      </c>
      <c r="S742" s="167">
        <v>25242.821733016579</v>
      </c>
      <c r="T742" s="167">
        <v>25298.622289198698</v>
      </c>
      <c r="U742" s="167">
        <v>25343.449455679485</v>
      </c>
      <c r="V742" s="167">
        <v>25394.114594686842</v>
      </c>
      <c r="W742" s="167">
        <v>25550.64079055551</v>
      </c>
      <c r="X742" s="167">
        <v>25763.28446405708</v>
      </c>
      <c r="Y742"/>
      <c r="Z742"/>
      <c r="AA742"/>
      <c r="AB742"/>
      <c r="AC742"/>
      <c r="AD742"/>
      <c r="AE742"/>
      <c r="AF742"/>
      <c r="AG742"/>
    </row>
    <row r="743" spans="1:33" ht="12.75">
      <c r="A743" s="168" t="s">
        <v>34</v>
      </c>
      <c r="B743" s="581">
        <f>NPV(0.1,D743:Y743)</f>
        <v>80555.816396666676</v>
      </c>
      <c r="C743" s="581">
        <f>B743-B732</f>
        <v>-0.75047957189963199</v>
      </c>
      <c r="D743" s="585">
        <v>-1904.4926542376475</v>
      </c>
      <c r="E743" s="586">
        <v>3427.6412322141682</v>
      </c>
      <c r="F743" s="586">
        <v>3752.2314505706372</v>
      </c>
      <c r="G743" s="586">
        <v>4002.2680438245889</v>
      </c>
      <c r="H743" s="586">
        <v>7879.581488355976</v>
      </c>
      <c r="I743" s="586">
        <v>10976.849606829943</v>
      </c>
      <c r="J743" s="586">
        <v>11585.265855191727</v>
      </c>
      <c r="K743" s="586">
        <v>12039.823718434667</v>
      </c>
      <c r="L743" s="586">
        <v>12882.96960633462</v>
      </c>
      <c r="M743" s="586">
        <v>13500.18130523394</v>
      </c>
      <c r="N743" s="586">
        <v>14646.607838663889</v>
      </c>
      <c r="O743" s="587">
        <v>14472.172214417033</v>
      </c>
      <c r="P743" s="167">
        <v>15304.120274377015</v>
      </c>
      <c r="Q743" s="167">
        <v>15707.643939091096</v>
      </c>
      <c r="R743" s="167">
        <v>16102.846615801989</v>
      </c>
      <c r="S743" s="167">
        <v>16489.067019749025</v>
      </c>
      <c r="T743" s="167">
        <v>16886.420613795901</v>
      </c>
      <c r="U743" s="167">
        <v>17444.844478368199</v>
      </c>
      <c r="V743" s="167">
        <v>18056.531109225321</v>
      </c>
      <c r="W743" s="167">
        <v>18690.469147006072</v>
      </c>
      <c r="X743" s="167">
        <v>19358.896122036887</v>
      </c>
      <c r="Y743"/>
      <c r="Z743"/>
      <c r="AA743"/>
      <c r="AB743"/>
      <c r="AC743"/>
      <c r="AD743"/>
      <c r="AE743"/>
      <c r="AF743"/>
      <c r="AG743"/>
    </row>
    <row r="744" spans="1:33" ht="12.75">
      <c r="A744" s="168" t="s">
        <v>31</v>
      </c>
      <c r="B744" s="581">
        <f>NPV(0.1,D744:Y744)</f>
        <v>83620.067978604144</v>
      </c>
      <c r="C744" s="581">
        <f>B744-B733</f>
        <v>-111.88308367322315</v>
      </c>
      <c r="D744" s="588">
        <v>-5718.3348220110347</v>
      </c>
      <c r="E744" s="589">
        <v>3459.9728419598123</v>
      </c>
      <c r="F744" s="589">
        <v>4731.4671029329893</v>
      </c>
      <c r="G744" s="589">
        <v>3389.9846628584164</v>
      </c>
      <c r="H744" s="589">
        <v>13139.534775459859</v>
      </c>
      <c r="I744" s="589">
        <v>16675.205438770157</v>
      </c>
      <c r="J744" s="589">
        <v>12517.529133665459</v>
      </c>
      <c r="K744" s="589">
        <v>12968.494146101264</v>
      </c>
      <c r="L744" s="589">
        <v>10313.213776743967</v>
      </c>
      <c r="M744" s="589">
        <v>8551.9017329005328</v>
      </c>
      <c r="N744" s="589">
        <v>18419.154901008846</v>
      </c>
      <c r="O744" s="590">
        <v>18411.379095290682</v>
      </c>
      <c r="P744" s="167">
        <v>18377.899148013741</v>
      </c>
      <c r="Q744" s="167">
        <v>18770.407745791912</v>
      </c>
      <c r="R744" s="167">
        <v>19159.984165245558</v>
      </c>
      <c r="S744" s="167">
        <v>17852.492678303846</v>
      </c>
      <c r="T744" s="167">
        <v>13300.365233075659</v>
      </c>
      <c r="U744" s="167">
        <v>12532.796523454801</v>
      </c>
      <c r="V744" s="167">
        <v>11231.233154311918</v>
      </c>
      <c r="W744" s="167">
        <v>10689.519137251607</v>
      </c>
      <c r="X744" s="167">
        <v>22214.623256768136</v>
      </c>
      <c r="Y744"/>
      <c r="Z744"/>
      <c r="AA744"/>
      <c r="AB744"/>
      <c r="AC744"/>
      <c r="AD744"/>
      <c r="AE744"/>
      <c r="AF744"/>
      <c r="AG744"/>
    </row>
    <row r="747" spans="1:33" ht="12.75">
      <c r="A747" s="169" t="s">
        <v>710</v>
      </c>
      <c r="B747" s="163"/>
      <c r="C747" s="163"/>
      <c r="D747"/>
      <c r="E747"/>
      <c r="F747"/>
      <c r="G747"/>
      <c r="H747"/>
      <c r="I747"/>
      <c r="J747"/>
      <c r="K747"/>
      <c r="L747"/>
      <c r="M747"/>
      <c r="N747"/>
      <c r="O747"/>
      <c r="P747"/>
      <c r="Q747"/>
      <c r="R747"/>
      <c r="S747"/>
      <c r="T747"/>
      <c r="U747"/>
      <c r="V747"/>
      <c r="W747"/>
      <c r="X747"/>
      <c r="Y747"/>
      <c r="Z747"/>
      <c r="AA747"/>
      <c r="AB747"/>
      <c r="AC747"/>
      <c r="AD747"/>
      <c r="AE747"/>
      <c r="AF747"/>
      <c r="AG747"/>
    </row>
    <row r="748" spans="1:33" ht="12.75">
      <c r="A748" s="416">
        <v>36509</v>
      </c>
      <c r="B748" s="163"/>
      <c r="C748" s="163"/>
      <c r="D748"/>
      <c r="E748"/>
      <c r="F748"/>
      <c r="G748"/>
      <c r="H748"/>
      <c r="I748"/>
      <c r="J748"/>
      <c r="K748"/>
      <c r="L748"/>
      <c r="M748"/>
      <c r="N748"/>
      <c r="O748"/>
      <c r="P748"/>
      <c r="Q748"/>
      <c r="R748"/>
      <c r="S748"/>
      <c r="T748"/>
      <c r="U748"/>
      <c r="V748"/>
      <c r="W748"/>
      <c r="X748"/>
      <c r="Y748"/>
      <c r="Z748"/>
      <c r="AA748"/>
      <c r="AB748"/>
      <c r="AC748"/>
      <c r="AD748"/>
      <c r="AE748"/>
      <c r="AF748"/>
      <c r="AG748"/>
    </row>
    <row r="749" spans="1:33" ht="12.75">
      <c r="A749" s="164" t="s">
        <v>427</v>
      </c>
      <c r="B749" s="172">
        <v>36723.034921792394</v>
      </c>
      <c r="C749" s="163"/>
      <c r="D749"/>
      <c r="E749"/>
      <c r="F749"/>
      <c r="G749"/>
      <c r="H749"/>
      <c r="I749"/>
      <c r="J749"/>
      <c r="K749"/>
      <c r="L749"/>
      <c r="M749"/>
      <c r="N749"/>
      <c r="O749"/>
      <c r="P749"/>
      <c r="Q749"/>
      <c r="R749"/>
      <c r="S749"/>
      <c r="T749"/>
      <c r="U749"/>
      <c r="V749"/>
      <c r="W749"/>
      <c r="X749"/>
      <c r="Y749"/>
      <c r="Z749"/>
      <c r="AA749"/>
      <c r="AB749"/>
      <c r="AC749"/>
      <c r="AD749"/>
      <c r="AE749"/>
      <c r="AF749"/>
      <c r="AG749"/>
    </row>
    <row r="750" spans="1:33" ht="12.75">
      <c r="A750" s="165" t="s">
        <v>428</v>
      </c>
      <c r="B750" s="1174">
        <v>66554.692546092134</v>
      </c>
      <c r="C750" s="163"/>
      <c r="D750"/>
      <c r="E750"/>
      <c r="F750"/>
      <c r="G750"/>
      <c r="H750"/>
      <c r="I750"/>
      <c r="J750"/>
      <c r="K750"/>
      <c r="L750"/>
      <c r="M750"/>
      <c r="N750"/>
      <c r="O750"/>
      <c r="P750"/>
      <c r="Q750"/>
      <c r="R750"/>
      <c r="S750"/>
      <c r="T750"/>
      <c r="U750"/>
      <c r="V750"/>
      <c r="W750"/>
      <c r="X750"/>
      <c r="Y750"/>
      <c r="Z750"/>
      <c r="AA750"/>
      <c r="AB750"/>
      <c r="AC750"/>
      <c r="AD750"/>
      <c r="AE750"/>
      <c r="AF750"/>
      <c r="AG750"/>
    </row>
    <row r="751" spans="1:33" ht="12.75">
      <c r="A751" s="166" t="s">
        <v>429</v>
      </c>
      <c r="B751" s="580" t="s">
        <v>499</v>
      </c>
      <c r="C751" s="580" t="s">
        <v>500</v>
      </c>
      <c r="D751" s="582">
        <v>1999</v>
      </c>
      <c r="E751" s="583">
        <v>2000</v>
      </c>
      <c r="F751" s="583">
        <v>2001</v>
      </c>
      <c r="G751" s="583">
        <v>2002</v>
      </c>
      <c r="H751" s="583">
        <v>2003</v>
      </c>
      <c r="I751" s="583">
        <v>2004</v>
      </c>
      <c r="J751" s="583">
        <v>2005</v>
      </c>
      <c r="K751" s="583">
        <v>2006</v>
      </c>
      <c r="L751" s="583">
        <v>2007</v>
      </c>
      <c r="M751" s="583">
        <v>2008</v>
      </c>
      <c r="N751" s="583">
        <v>2009</v>
      </c>
      <c r="O751" s="584">
        <v>2010</v>
      </c>
      <c r="P751" s="171">
        <v>2011</v>
      </c>
      <c r="Q751" s="171">
        <v>2012</v>
      </c>
      <c r="R751" s="171">
        <v>2013</v>
      </c>
      <c r="S751" s="171">
        <v>2014</v>
      </c>
      <c r="T751" s="171">
        <v>2015</v>
      </c>
      <c r="U751" s="171">
        <v>2016</v>
      </c>
      <c r="V751" s="171">
        <v>2017</v>
      </c>
      <c r="W751" s="171">
        <v>2018</v>
      </c>
      <c r="X751" s="171">
        <v>2019</v>
      </c>
      <c r="Y751"/>
      <c r="Z751"/>
      <c r="AA751"/>
      <c r="AB751"/>
      <c r="AC751"/>
      <c r="AD751"/>
      <c r="AE751"/>
      <c r="AF751"/>
      <c r="AG751"/>
    </row>
    <row r="752" spans="1:33" ht="12.75">
      <c r="A752" s="166" t="s">
        <v>430</v>
      </c>
      <c r="B752" s="581">
        <f>NPV(0.1,D752:Y752)</f>
        <v>418867.16558122361</v>
      </c>
      <c r="C752" s="581">
        <f>B752-B741</f>
        <v>0</v>
      </c>
      <c r="D752" s="585">
        <v>26898.216959999994</v>
      </c>
      <c r="E752" s="586">
        <v>40079.915814977372</v>
      </c>
      <c r="F752" s="586">
        <v>40673.161342217194</v>
      </c>
      <c r="G752" s="586">
        <v>40731.64097768371</v>
      </c>
      <c r="H752" s="586">
        <v>47605.84011425489</v>
      </c>
      <c r="I752" s="586">
        <v>52769.765885234337</v>
      </c>
      <c r="J752" s="586">
        <v>53213.775120657876</v>
      </c>
      <c r="K752" s="586">
        <v>53653.259503785877</v>
      </c>
      <c r="L752" s="586">
        <v>54718.611193040255</v>
      </c>
      <c r="M752" s="586">
        <v>55165.928277364612</v>
      </c>
      <c r="N752" s="586">
        <v>56276.660029826366</v>
      </c>
      <c r="O752" s="587">
        <v>56731.133874277803</v>
      </c>
      <c r="P752" s="167">
        <v>57888.82179464693</v>
      </c>
      <c r="Q752" s="167">
        <v>58349.665078533413</v>
      </c>
      <c r="R752" s="167">
        <v>58802.386402713681</v>
      </c>
      <c r="S752" s="167">
        <v>59246.083690649852</v>
      </c>
      <c r="T752" s="167">
        <v>59679.808050975516</v>
      </c>
      <c r="U752" s="167">
        <v>60102.561780474927</v>
      </c>
      <c r="V752" s="167">
        <v>60513.296289374215</v>
      </c>
      <c r="W752" s="167">
        <v>60910.909946080785</v>
      </c>
      <c r="X752" s="167">
        <v>61294.245838405084</v>
      </c>
      <c r="Y752"/>
      <c r="Z752"/>
      <c r="AA752"/>
      <c r="AB752"/>
      <c r="AC752"/>
      <c r="AD752"/>
      <c r="AE752"/>
      <c r="AF752"/>
      <c r="AG752"/>
    </row>
    <row r="753" spans="1:33" ht="12.75">
      <c r="A753" s="168" t="s">
        <v>431</v>
      </c>
      <c r="B753" s="581">
        <f>NPV(0.1,D753:Y753)</f>
        <v>196948.66441769307</v>
      </c>
      <c r="C753" s="581">
        <f>B753-B742</f>
        <v>0</v>
      </c>
      <c r="D753" s="585">
        <v>18832.90043852941</v>
      </c>
      <c r="E753" s="586">
        <v>20844.487525016189</v>
      </c>
      <c r="F753" s="586">
        <v>21182.181076477184</v>
      </c>
      <c r="G753" s="586">
        <v>21286.775003375376</v>
      </c>
      <c r="H753" s="586">
        <v>22536.046384290814</v>
      </c>
      <c r="I753" s="586">
        <v>23320.562652051376</v>
      </c>
      <c r="J753" s="586">
        <v>23450.050954769176</v>
      </c>
      <c r="K753" s="586">
        <v>23578.209624987991</v>
      </c>
      <c r="L753" s="586">
        <v>23710.712295039164</v>
      </c>
      <c r="M753" s="586">
        <v>23847.689284917666</v>
      </c>
      <c r="N753" s="586">
        <v>23983.727716153928</v>
      </c>
      <c r="O753" s="587">
        <v>24923.296514566449</v>
      </c>
      <c r="P753" s="167">
        <v>25007.952773081255</v>
      </c>
      <c r="Q753" s="167">
        <v>25081.003593787318</v>
      </c>
      <c r="R753" s="167">
        <v>25159.241377469338</v>
      </c>
      <c r="S753" s="167">
        <v>25242.821733016579</v>
      </c>
      <c r="T753" s="167">
        <v>25298.622289198698</v>
      </c>
      <c r="U753" s="167">
        <v>25343.449455679485</v>
      </c>
      <c r="V753" s="167">
        <v>25394.114594686842</v>
      </c>
      <c r="W753" s="167">
        <v>25550.64079055551</v>
      </c>
      <c r="X753" s="167">
        <v>25763.28446405708</v>
      </c>
      <c r="Y753"/>
      <c r="Z753"/>
      <c r="AA753"/>
      <c r="AB753"/>
      <c r="AC753"/>
      <c r="AD753"/>
      <c r="AE753"/>
      <c r="AF753"/>
      <c r="AG753"/>
    </row>
    <row r="754" spans="1:33" ht="12.75">
      <c r="A754" s="168" t="s">
        <v>34</v>
      </c>
      <c r="B754" s="581">
        <f>NPV(0.1,D754:Y754)</f>
        <v>80437.081660468728</v>
      </c>
      <c r="C754" s="581">
        <f>B754-B743</f>
        <v>-118.73473619794822</v>
      </c>
      <c r="D754" s="585">
        <v>-1915.2928964772311</v>
      </c>
      <c r="E754" s="586">
        <v>3401.7206508391678</v>
      </c>
      <c r="F754" s="586">
        <v>3726.3108691956368</v>
      </c>
      <c r="G754" s="586">
        <v>3976.3474624495884</v>
      </c>
      <c r="H754" s="586">
        <v>7853.6609069809774</v>
      </c>
      <c r="I754" s="586">
        <v>10959.335413163277</v>
      </c>
      <c r="J754" s="586">
        <v>11579.520604316727</v>
      </c>
      <c r="K754" s="586">
        <v>12034.07846755967</v>
      </c>
      <c r="L754" s="586">
        <v>12877.224355459621</v>
      </c>
      <c r="M754" s="586">
        <v>13494.436054358941</v>
      </c>
      <c r="N754" s="586">
        <v>14640.86258778889</v>
      </c>
      <c r="O754" s="587">
        <v>14466.426963542033</v>
      </c>
      <c r="P754" s="167">
        <v>15298.375023502016</v>
      </c>
      <c r="Q754" s="167">
        <v>15701.898688216097</v>
      </c>
      <c r="R754" s="167">
        <v>16097.10136492699</v>
      </c>
      <c r="S754" s="167">
        <v>16483.321768874026</v>
      </c>
      <c r="T754" s="167">
        <v>16880.675362920902</v>
      </c>
      <c r="U754" s="167">
        <v>17439.0992274932</v>
      </c>
      <c r="V754" s="167">
        <v>18050.785858350322</v>
      </c>
      <c r="W754" s="167">
        <v>18684.723896131072</v>
      </c>
      <c r="X754" s="167">
        <v>19355.608173818138</v>
      </c>
      <c r="Y754"/>
      <c r="Z754"/>
      <c r="AA754"/>
      <c r="AB754"/>
      <c r="AC754"/>
      <c r="AD754"/>
      <c r="AE754"/>
      <c r="AF754"/>
      <c r="AG754"/>
    </row>
    <row r="755" spans="1:33" ht="12.75">
      <c r="A755" s="168" t="s">
        <v>31</v>
      </c>
      <c r="B755" s="581">
        <f>NPV(0.1,D755:Y755)</f>
        <v>83680.297368680884</v>
      </c>
      <c r="C755" s="581">
        <f>B755-B744</f>
        <v>60.229390076739946</v>
      </c>
      <c r="D755" s="588">
        <v>-5718.3348220110347</v>
      </c>
      <c r="E755" s="589">
        <v>3459.9728419598123</v>
      </c>
      <c r="F755" s="589">
        <v>4731.4671029329893</v>
      </c>
      <c r="G755" s="589">
        <v>3389.9846628584164</v>
      </c>
      <c r="H755" s="589">
        <v>13139.534775459859</v>
      </c>
      <c r="I755" s="589">
        <v>16756.098942973913</v>
      </c>
      <c r="J755" s="589">
        <v>12520.996752440458</v>
      </c>
      <c r="K755" s="589">
        <v>12971.961450461264</v>
      </c>
      <c r="L755" s="589">
        <v>10316.681395518965</v>
      </c>
      <c r="M755" s="589">
        <v>8555.3690372605342</v>
      </c>
      <c r="N755" s="589">
        <v>18422.622519783843</v>
      </c>
      <c r="O755" s="590">
        <v>18414.846399650683</v>
      </c>
      <c r="P755" s="167">
        <v>18381.366766788738</v>
      </c>
      <c r="Q755" s="167">
        <v>18773.875050151913</v>
      </c>
      <c r="R755" s="167">
        <v>19163.451784020559</v>
      </c>
      <c r="S755" s="167">
        <v>17856.053049503847</v>
      </c>
      <c r="T755" s="167">
        <v>13304.018356700661</v>
      </c>
      <c r="U755" s="167">
        <v>12536.449647079804</v>
      </c>
      <c r="V755" s="167">
        <v>11234.886277936923</v>
      </c>
      <c r="W755" s="167">
        <v>10693.172260876605</v>
      </c>
      <c r="X755" s="167">
        <v>22214.623256768136</v>
      </c>
      <c r="Y755"/>
      <c r="Z755"/>
      <c r="AA755"/>
      <c r="AB755"/>
      <c r="AC755"/>
      <c r="AD755"/>
      <c r="AE755"/>
      <c r="AF755"/>
      <c r="AG755"/>
    </row>
    <row r="758" spans="1:33" ht="12.75">
      <c r="A758" s="169" t="s">
        <v>712</v>
      </c>
      <c r="B758" s="163"/>
      <c r="C758" s="163"/>
      <c r="D758"/>
      <c r="E758"/>
      <c r="F758"/>
      <c r="G758"/>
      <c r="H758"/>
      <c r="I758"/>
      <c r="J758"/>
      <c r="K758"/>
      <c r="L758"/>
      <c r="M758"/>
      <c r="N758"/>
      <c r="O758"/>
      <c r="P758"/>
      <c r="Q758"/>
      <c r="R758"/>
      <c r="S758"/>
      <c r="T758"/>
      <c r="U758"/>
      <c r="V758"/>
      <c r="W758"/>
      <c r="X758"/>
      <c r="Y758"/>
      <c r="Z758"/>
      <c r="AA758"/>
      <c r="AB758"/>
      <c r="AC758"/>
      <c r="AD758"/>
      <c r="AE758"/>
      <c r="AF758"/>
      <c r="AG758"/>
    </row>
    <row r="759" spans="1:33" ht="12.75">
      <c r="A759" s="416">
        <v>36529</v>
      </c>
      <c r="B759" s="163"/>
      <c r="C759" s="163"/>
      <c r="D759"/>
      <c r="E759"/>
      <c r="F759"/>
      <c r="G759"/>
      <c r="H759"/>
      <c r="I759"/>
      <c r="J759"/>
      <c r="K759"/>
      <c r="L759"/>
      <c r="M759"/>
      <c r="N759"/>
      <c r="O759"/>
      <c r="P759"/>
      <c r="Q759"/>
      <c r="R759"/>
      <c r="S759"/>
      <c r="T759"/>
      <c r="U759"/>
      <c r="V759"/>
      <c r="W759"/>
      <c r="X759"/>
      <c r="Y759"/>
      <c r="Z759"/>
      <c r="AA759"/>
      <c r="AB759"/>
      <c r="AC759"/>
      <c r="AD759"/>
      <c r="AE759"/>
      <c r="AF759"/>
      <c r="AG759"/>
    </row>
    <row r="760" spans="1:33" ht="12.75">
      <c r="A760" s="164" t="s">
        <v>427</v>
      </c>
      <c r="B760" s="172">
        <v>36764.708214593316</v>
      </c>
      <c r="C760" s="163"/>
      <c r="D760"/>
      <c r="E760"/>
      <c r="F760"/>
      <c r="G760"/>
      <c r="H760"/>
      <c r="I760"/>
      <c r="J760"/>
      <c r="K760"/>
      <c r="L760"/>
      <c r="M760"/>
      <c r="N760"/>
      <c r="O760"/>
      <c r="P760"/>
      <c r="Q760"/>
      <c r="R760"/>
      <c r="S760"/>
      <c r="T760"/>
      <c r="U760"/>
      <c r="V760"/>
      <c r="W760"/>
      <c r="X760"/>
      <c r="Y760"/>
      <c r="Z760"/>
      <c r="AA760"/>
      <c r="AB760"/>
      <c r="AC760"/>
      <c r="AD760"/>
      <c r="AE760"/>
      <c r="AF760"/>
      <c r="AG760"/>
    </row>
    <row r="761" spans="1:33" ht="12.75">
      <c r="A761" s="165" t="s">
        <v>428</v>
      </c>
      <c r="B761" s="1174">
        <v>66604.179546092128</v>
      </c>
      <c r="C761" s="163"/>
      <c r="D761"/>
      <c r="E761"/>
      <c r="F761"/>
      <c r="G761"/>
      <c r="H761"/>
      <c r="I761"/>
      <c r="J761"/>
      <c r="K761"/>
      <c r="L761"/>
      <c r="M761"/>
      <c r="N761"/>
      <c r="O761"/>
      <c r="P761"/>
      <c r="Q761"/>
      <c r="R761"/>
      <c r="S761"/>
      <c r="T761"/>
      <c r="U761"/>
      <c r="V761"/>
      <c r="W761"/>
      <c r="X761"/>
      <c r="Y761"/>
      <c r="Z761"/>
      <c r="AA761"/>
      <c r="AB761"/>
      <c r="AC761"/>
      <c r="AD761"/>
      <c r="AE761"/>
      <c r="AF761"/>
      <c r="AG761"/>
    </row>
    <row r="762" spans="1:33" ht="12.75">
      <c r="A762" s="166" t="s">
        <v>429</v>
      </c>
      <c r="B762" s="580" t="s">
        <v>499</v>
      </c>
      <c r="C762" s="580" t="s">
        <v>500</v>
      </c>
      <c r="D762" s="582">
        <v>1999</v>
      </c>
      <c r="E762" s="583">
        <v>2000</v>
      </c>
      <c r="F762" s="583">
        <v>2001</v>
      </c>
      <c r="G762" s="583">
        <v>2002</v>
      </c>
      <c r="H762" s="583">
        <v>2003</v>
      </c>
      <c r="I762" s="583">
        <v>2004</v>
      </c>
      <c r="J762" s="583">
        <v>2005</v>
      </c>
      <c r="K762" s="583">
        <v>2006</v>
      </c>
      <c r="L762" s="583">
        <v>2007</v>
      </c>
      <c r="M762" s="583">
        <v>2008</v>
      </c>
      <c r="N762" s="583">
        <v>2009</v>
      </c>
      <c r="O762" s="584">
        <v>2010</v>
      </c>
      <c r="P762" s="171">
        <v>2011</v>
      </c>
      <c r="Q762" s="171">
        <v>2012</v>
      </c>
      <c r="R762" s="171">
        <v>2013</v>
      </c>
      <c r="S762" s="171">
        <v>2014</v>
      </c>
      <c r="T762" s="171">
        <v>2015</v>
      </c>
      <c r="U762" s="171">
        <v>2016</v>
      </c>
      <c r="V762" s="171">
        <v>2017</v>
      </c>
      <c r="W762" s="171">
        <v>2018</v>
      </c>
      <c r="X762" s="171">
        <v>2019</v>
      </c>
      <c r="Y762"/>
      <c r="Z762"/>
      <c r="AA762"/>
      <c r="AB762"/>
      <c r="AC762"/>
      <c r="AD762"/>
      <c r="AE762"/>
      <c r="AF762"/>
      <c r="AG762"/>
    </row>
    <row r="763" spans="1:33" ht="12.75">
      <c r="A763" s="166" t="s">
        <v>430</v>
      </c>
      <c r="B763" s="581">
        <f>NPV(0.1,D763:Y763)</f>
        <v>418867.16558122361</v>
      </c>
      <c r="C763" s="581">
        <f>B763-B752</f>
        <v>0</v>
      </c>
      <c r="D763" s="585">
        <v>26898.216959999994</v>
      </c>
      <c r="E763" s="586">
        <v>40079.915814977372</v>
      </c>
      <c r="F763" s="586">
        <v>40673.161342217194</v>
      </c>
      <c r="G763" s="586">
        <v>40731.64097768371</v>
      </c>
      <c r="H763" s="586">
        <v>47605.84011425489</v>
      </c>
      <c r="I763" s="586">
        <v>52769.765885234337</v>
      </c>
      <c r="J763" s="586">
        <v>53213.775120657876</v>
      </c>
      <c r="K763" s="586">
        <v>53653.259503785877</v>
      </c>
      <c r="L763" s="586">
        <v>54718.611193040255</v>
      </c>
      <c r="M763" s="586">
        <v>55165.928277364612</v>
      </c>
      <c r="N763" s="586">
        <v>56276.660029826366</v>
      </c>
      <c r="O763" s="587">
        <v>56731.133874277803</v>
      </c>
      <c r="P763" s="167">
        <v>57888.82179464693</v>
      </c>
      <c r="Q763" s="167">
        <v>58349.665078533413</v>
      </c>
      <c r="R763" s="167">
        <v>58802.386402713681</v>
      </c>
      <c r="S763" s="167">
        <v>59246.083690649852</v>
      </c>
      <c r="T763" s="167">
        <v>59679.808050975516</v>
      </c>
      <c r="U763" s="167">
        <v>60102.561780474927</v>
      </c>
      <c r="V763" s="167">
        <v>60513.296289374215</v>
      </c>
      <c r="W763" s="167">
        <v>60910.909946080785</v>
      </c>
      <c r="X763" s="167">
        <v>61294.245838405084</v>
      </c>
      <c r="Y763"/>
      <c r="Z763"/>
      <c r="AA763"/>
      <c r="AB763"/>
      <c r="AC763"/>
      <c r="AD763"/>
      <c r="AE763"/>
      <c r="AF763"/>
      <c r="AG763"/>
    </row>
    <row r="764" spans="1:33" ht="12.75">
      <c r="A764" s="168" t="s">
        <v>431</v>
      </c>
      <c r="B764" s="581">
        <f>NPV(0.1,D764:Y764)</f>
        <v>196948.66441769307</v>
      </c>
      <c r="C764" s="581">
        <f>B764-B753</f>
        <v>0</v>
      </c>
      <c r="D764" s="585">
        <v>18832.90043852941</v>
      </c>
      <c r="E764" s="586">
        <v>20844.487525016189</v>
      </c>
      <c r="F764" s="586">
        <v>21182.181076477184</v>
      </c>
      <c r="G764" s="586">
        <v>21286.775003375376</v>
      </c>
      <c r="H764" s="586">
        <v>22536.046384290814</v>
      </c>
      <c r="I764" s="586">
        <v>23320.562652051376</v>
      </c>
      <c r="J764" s="586">
        <v>23450.050954769176</v>
      </c>
      <c r="K764" s="586">
        <v>23578.209624987991</v>
      </c>
      <c r="L764" s="586">
        <v>23710.712295039164</v>
      </c>
      <c r="M764" s="586">
        <v>23847.689284917666</v>
      </c>
      <c r="N764" s="586">
        <v>23983.727716153928</v>
      </c>
      <c r="O764" s="587">
        <v>24923.296514566449</v>
      </c>
      <c r="P764" s="167">
        <v>25007.952773081255</v>
      </c>
      <c r="Q764" s="167">
        <v>25081.003593787318</v>
      </c>
      <c r="R764" s="167">
        <v>25159.241377469338</v>
      </c>
      <c r="S764" s="167">
        <v>25242.821733016579</v>
      </c>
      <c r="T764" s="167">
        <v>25298.622289198698</v>
      </c>
      <c r="U764" s="167">
        <v>25343.449455679485</v>
      </c>
      <c r="V764" s="167">
        <v>25394.114594686842</v>
      </c>
      <c r="W764" s="167">
        <v>25550.64079055551</v>
      </c>
      <c r="X764" s="167">
        <v>25763.28446405708</v>
      </c>
      <c r="Y764"/>
      <c r="Z764"/>
      <c r="AA764"/>
      <c r="AB764"/>
      <c r="AC764"/>
      <c r="AD764"/>
      <c r="AE764"/>
      <c r="AF764"/>
      <c r="AG764"/>
    </row>
    <row r="765" spans="1:33" ht="12.75">
      <c r="A765" s="168" t="s">
        <v>34</v>
      </c>
      <c r="B765" s="581">
        <f>NPV(0.1,D765:Y765)</f>
        <v>80444.523582778667</v>
      </c>
      <c r="C765" s="581">
        <f>B765-B754</f>
        <v>7.4419223099394003</v>
      </c>
      <c r="D765" s="585">
        <v>-1914.9110061751476</v>
      </c>
      <c r="E765" s="586">
        <v>3402.637187564168</v>
      </c>
      <c r="F765" s="586">
        <v>3727.2274059206375</v>
      </c>
      <c r="G765" s="586">
        <v>3977.2639991745891</v>
      </c>
      <c r="H765" s="586">
        <v>7854.5774437059781</v>
      </c>
      <c r="I765" s="586">
        <v>10960.252052804943</v>
      </c>
      <c r="J765" s="586">
        <v>11580.437388041728</v>
      </c>
      <c r="K765" s="586">
        <v>12034.995251284667</v>
      </c>
      <c r="L765" s="586">
        <v>12878.141139184621</v>
      </c>
      <c r="M765" s="586">
        <v>13495.352838083942</v>
      </c>
      <c r="N765" s="586">
        <v>14641.779371513889</v>
      </c>
      <c r="O765" s="587">
        <v>14467.343747267036</v>
      </c>
      <c r="P765" s="167">
        <v>15299.291807227017</v>
      </c>
      <c r="Q765" s="167">
        <v>15702.815471941101</v>
      </c>
      <c r="R765" s="167">
        <v>16098.01814865199</v>
      </c>
      <c r="S765" s="167">
        <v>16484.238552599032</v>
      </c>
      <c r="T765" s="167">
        <v>16881.592146645904</v>
      </c>
      <c r="U765" s="167">
        <v>17440.016011218198</v>
      </c>
      <c r="V765" s="167">
        <v>18051.702642075325</v>
      </c>
      <c r="W765" s="167">
        <v>18685.640679856071</v>
      </c>
      <c r="X765" s="167">
        <v>19356.524957543141</v>
      </c>
      <c r="Y765"/>
      <c r="Z765"/>
      <c r="AA765"/>
      <c r="AB765"/>
      <c r="AC765"/>
      <c r="AD765"/>
      <c r="AE765"/>
      <c r="AF765"/>
      <c r="AG765"/>
    </row>
    <row r="766" spans="1:33" ht="12.75">
      <c r="A766" s="168" t="s">
        <v>31</v>
      </c>
      <c r="B766" s="581">
        <f>NPV(0.1,D766:Y766)</f>
        <v>83671.851017020948</v>
      </c>
      <c r="C766" s="581">
        <f>B766-B755</f>
        <v>-8.446351659935317</v>
      </c>
      <c r="D766" s="588">
        <v>-5718.3348220110347</v>
      </c>
      <c r="E766" s="589">
        <v>3459.9728419598123</v>
      </c>
      <c r="F766" s="589">
        <v>4731.4671029329893</v>
      </c>
      <c r="G766" s="589">
        <v>3389.9846628584164</v>
      </c>
      <c r="H766" s="589">
        <v>13139.534775459859</v>
      </c>
      <c r="I766" s="589">
        <v>16747.787745862159</v>
      </c>
      <c r="J766" s="589">
        <v>12519.879909432959</v>
      </c>
      <c r="K766" s="589">
        <v>12970.842714499511</v>
      </c>
      <c r="L766" s="589">
        <v>10315.564552511465</v>
      </c>
      <c r="M766" s="589">
        <v>8554.2503012987909</v>
      </c>
      <c r="N766" s="589">
        <v>18421.505676776345</v>
      </c>
      <c r="O766" s="590">
        <v>18413.72766368894</v>
      </c>
      <c r="P766" s="167">
        <v>18380.249923781244</v>
      </c>
      <c r="Q766" s="167">
        <v>18772.75631419017</v>
      </c>
      <c r="R766" s="167">
        <v>19162.334941013061</v>
      </c>
      <c r="S766" s="167">
        <v>17855.494628000102</v>
      </c>
      <c r="T766" s="167">
        <v>13304.018356700668</v>
      </c>
      <c r="U766" s="167">
        <v>12536.449647079804</v>
      </c>
      <c r="V766" s="167">
        <v>11234.886277936923</v>
      </c>
      <c r="W766" s="167">
        <v>10693.172260876605</v>
      </c>
      <c r="X766" s="167">
        <v>22214.623256768144</v>
      </c>
      <c r="Y766"/>
      <c r="Z766"/>
      <c r="AA766"/>
      <c r="AB766"/>
      <c r="AC766"/>
      <c r="AD766"/>
      <c r="AE766"/>
      <c r="AF766"/>
      <c r="AG766"/>
    </row>
    <row r="769" spans="1:33" ht="12.75">
      <c r="A769" s="169" t="s">
        <v>713</v>
      </c>
      <c r="B769" s="163"/>
      <c r="C769" s="163"/>
      <c r="D769"/>
      <c r="E769"/>
      <c r="F769"/>
      <c r="G769"/>
      <c r="H769"/>
      <c r="I769"/>
      <c r="J769"/>
      <c r="K769"/>
      <c r="L769"/>
      <c r="M769"/>
      <c r="N769"/>
      <c r="O769"/>
      <c r="P769"/>
      <c r="Q769"/>
      <c r="R769"/>
      <c r="S769"/>
      <c r="T769"/>
      <c r="U769"/>
      <c r="V769"/>
      <c r="W769"/>
      <c r="X769"/>
      <c r="Y769"/>
      <c r="Z769"/>
      <c r="AA769"/>
      <c r="AB769"/>
      <c r="AC769"/>
      <c r="AD769"/>
      <c r="AE769"/>
      <c r="AF769"/>
      <c r="AG769"/>
    </row>
    <row r="770" spans="1:33" ht="12.75">
      <c r="A770" s="416">
        <v>36556</v>
      </c>
      <c r="B770" s="163"/>
      <c r="C770" s="163"/>
      <c r="D770"/>
      <c r="E770"/>
      <c r="F770"/>
      <c r="G770"/>
      <c r="H770"/>
      <c r="I770"/>
      <c r="J770"/>
      <c r="K770"/>
      <c r="L770"/>
      <c r="M770"/>
      <c r="N770"/>
      <c r="O770"/>
      <c r="P770"/>
      <c r="Q770"/>
      <c r="R770"/>
      <c r="S770"/>
      <c r="T770"/>
      <c r="U770"/>
      <c r="V770"/>
      <c r="W770"/>
      <c r="X770"/>
      <c r="Y770"/>
      <c r="Z770"/>
      <c r="AA770"/>
      <c r="AB770"/>
      <c r="AC770"/>
      <c r="AD770"/>
      <c r="AE770"/>
      <c r="AF770"/>
      <c r="AG770"/>
    </row>
    <row r="771" spans="1:33" ht="12.75">
      <c r="A771" s="164" t="s">
        <v>427</v>
      </c>
      <c r="B771" s="172">
        <v>36601.142786201031</v>
      </c>
      <c r="C771" s="163"/>
      <c r="D771"/>
      <c r="E771"/>
      <c r="F771"/>
      <c r="G771"/>
      <c r="H771"/>
      <c r="I771"/>
      <c r="J771"/>
      <c r="K771"/>
      <c r="L771"/>
      <c r="M771"/>
      <c r="N771"/>
      <c r="O771"/>
      <c r="P771"/>
      <c r="Q771"/>
      <c r="R771"/>
      <c r="S771"/>
      <c r="T771"/>
      <c r="U771"/>
      <c r="V771"/>
      <c r="W771"/>
      <c r="X771"/>
      <c r="Y771"/>
      <c r="Z771"/>
      <c r="AA771"/>
      <c r="AB771"/>
      <c r="AC771"/>
      <c r="AD771"/>
      <c r="AE771"/>
      <c r="AF771"/>
      <c r="AG771"/>
    </row>
    <row r="772" spans="1:33" ht="12.75">
      <c r="A772" s="165" t="s">
        <v>428</v>
      </c>
      <c r="B772" s="1174">
        <v>66393.580546092126</v>
      </c>
      <c r="C772" s="163"/>
      <c r="D772"/>
      <c r="E772"/>
      <c r="F772"/>
      <c r="G772"/>
      <c r="H772"/>
      <c r="I772"/>
      <c r="J772"/>
      <c r="K772"/>
      <c r="L772"/>
      <c r="M772"/>
      <c r="N772"/>
      <c r="O772"/>
      <c r="P772"/>
      <c r="Q772"/>
      <c r="R772"/>
      <c r="S772"/>
      <c r="T772"/>
      <c r="U772"/>
      <c r="V772"/>
      <c r="W772"/>
      <c r="X772"/>
      <c r="Y772"/>
      <c r="Z772"/>
      <c r="AA772"/>
      <c r="AB772"/>
      <c r="AC772"/>
      <c r="AD772"/>
      <c r="AE772"/>
      <c r="AF772"/>
      <c r="AG772"/>
    </row>
    <row r="773" spans="1:33" ht="12.75">
      <c r="A773" s="166" t="s">
        <v>429</v>
      </c>
      <c r="B773" s="580" t="s">
        <v>499</v>
      </c>
      <c r="C773" s="580" t="s">
        <v>500</v>
      </c>
      <c r="D773" s="582">
        <v>1999</v>
      </c>
      <c r="E773" s="583">
        <v>2000</v>
      </c>
      <c r="F773" s="583">
        <v>2001</v>
      </c>
      <c r="G773" s="583">
        <v>2002</v>
      </c>
      <c r="H773" s="583">
        <v>2003</v>
      </c>
      <c r="I773" s="583">
        <v>2004</v>
      </c>
      <c r="J773" s="583">
        <v>2005</v>
      </c>
      <c r="K773" s="583">
        <v>2006</v>
      </c>
      <c r="L773" s="583">
        <v>2007</v>
      </c>
      <c r="M773" s="583">
        <v>2008</v>
      </c>
      <c r="N773" s="583">
        <v>2009</v>
      </c>
      <c r="O773" s="584">
        <v>2010</v>
      </c>
      <c r="P773" s="171">
        <v>2011</v>
      </c>
      <c r="Q773" s="171">
        <v>2012</v>
      </c>
      <c r="R773" s="171">
        <v>2013</v>
      </c>
      <c r="S773" s="171">
        <v>2014</v>
      </c>
      <c r="T773" s="171">
        <v>2015</v>
      </c>
      <c r="U773" s="171">
        <v>2016</v>
      </c>
      <c r="V773" s="171">
        <v>2017</v>
      </c>
      <c r="W773" s="171">
        <v>2018</v>
      </c>
      <c r="X773" s="171">
        <v>2019</v>
      </c>
      <c r="Y773"/>
      <c r="Z773"/>
      <c r="AA773"/>
      <c r="AB773"/>
      <c r="AC773"/>
      <c r="AD773"/>
      <c r="AE773"/>
      <c r="AF773"/>
      <c r="AG773"/>
    </row>
    <row r="774" spans="1:33" ht="12.75">
      <c r="A774" s="166" t="s">
        <v>430</v>
      </c>
      <c r="B774" s="581">
        <f>NPV(0.1,D774:Y774)</f>
        <v>418867.16558122361</v>
      </c>
      <c r="C774" s="581">
        <f>B774-B763</f>
        <v>0</v>
      </c>
      <c r="D774" s="585">
        <v>26898.216959999994</v>
      </c>
      <c r="E774" s="586">
        <v>40079.915814977372</v>
      </c>
      <c r="F774" s="586">
        <v>40673.161342217194</v>
      </c>
      <c r="G774" s="586">
        <v>40731.64097768371</v>
      </c>
      <c r="H774" s="586">
        <v>47605.84011425489</v>
      </c>
      <c r="I774" s="586">
        <v>52769.765885234337</v>
      </c>
      <c r="J774" s="586">
        <v>53213.775120657876</v>
      </c>
      <c r="K774" s="586">
        <v>53653.259503785877</v>
      </c>
      <c r="L774" s="586">
        <v>54718.611193040255</v>
      </c>
      <c r="M774" s="586">
        <v>55165.928277364612</v>
      </c>
      <c r="N774" s="586">
        <v>56276.660029826366</v>
      </c>
      <c r="O774" s="587">
        <v>56731.133874277803</v>
      </c>
      <c r="P774" s="167">
        <v>57888.82179464693</v>
      </c>
      <c r="Q774" s="167">
        <v>58349.665078533413</v>
      </c>
      <c r="R774" s="167">
        <v>58802.386402713681</v>
      </c>
      <c r="S774" s="167">
        <v>59246.083690649852</v>
      </c>
      <c r="T774" s="167">
        <v>59679.808050975516</v>
      </c>
      <c r="U774" s="167">
        <v>60102.561780474927</v>
      </c>
      <c r="V774" s="167">
        <v>60513.296289374215</v>
      </c>
      <c r="W774" s="167">
        <v>60910.909946080785</v>
      </c>
      <c r="X774" s="167">
        <v>61294.245838405084</v>
      </c>
      <c r="Y774"/>
      <c r="Z774"/>
      <c r="AA774"/>
      <c r="AB774"/>
      <c r="AC774"/>
      <c r="AD774"/>
      <c r="AE774"/>
      <c r="AF774"/>
      <c r="AG774"/>
    </row>
    <row r="775" spans="1:33" ht="12.75">
      <c r="A775" s="168" t="s">
        <v>431</v>
      </c>
      <c r="B775" s="581">
        <f>NPV(0.1,D775:Y775)</f>
        <v>196948.66441769307</v>
      </c>
      <c r="C775" s="581">
        <f>B775-B764</f>
        <v>0</v>
      </c>
      <c r="D775" s="585">
        <v>18832.90043852941</v>
      </c>
      <c r="E775" s="586">
        <v>20844.487525016189</v>
      </c>
      <c r="F775" s="586">
        <v>21182.181076477184</v>
      </c>
      <c r="G775" s="586">
        <v>21286.775003375376</v>
      </c>
      <c r="H775" s="586">
        <v>22536.046384290814</v>
      </c>
      <c r="I775" s="586">
        <v>23320.562652051376</v>
      </c>
      <c r="J775" s="586">
        <v>23450.050954769176</v>
      </c>
      <c r="K775" s="586">
        <v>23578.209624987991</v>
      </c>
      <c r="L775" s="586">
        <v>23710.712295039164</v>
      </c>
      <c r="M775" s="586">
        <v>23847.689284917666</v>
      </c>
      <c r="N775" s="586">
        <v>23983.727716153928</v>
      </c>
      <c r="O775" s="587">
        <v>24923.296514566449</v>
      </c>
      <c r="P775" s="167">
        <v>25007.952773081255</v>
      </c>
      <c r="Q775" s="167">
        <v>25081.003593787318</v>
      </c>
      <c r="R775" s="167">
        <v>25159.241377469338</v>
      </c>
      <c r="S775" s="167">
        <v>25242.821733016579</v>
      </c>
      <c r="T775" s="167">
        <v>25298.622289198698</v>
      </c>
      <c r="U775" s="167">
        <v>25343.449455679485</v>
      </c>
      <c r="V775" s="167">
        <v>25394.114594686842</v>
      </c>
      <c r="W775" s="167">
        <v>25550.64079055551</v>
      </c>
      <c r="X775" s="167">
        <v>25763.28446405708</v>
      </c>
      <c r="Y775"/>
      <c r="Z775"/>
      <c r="AA775"/>
      <c r="AB775"/>
      <c r="AC775"/>
      <c r="AD775"/>
      <c r="AE775"/>
      <c r="AF775"/>
      <c r="AG775"/>
    </row>
    <row r="776" spans="1:33" ht="12.75">
      <c r="A776" s="168" t="s">
        <v>34</v>
      </c>
      <c r="B776" s="581">
        <f>NPV(0.1,D776:Y776)</f>
        <v>80342.988130753016</v>
      </c>
      <c r="C776" s="581">
        <f>B776-B765</f>
        <v>-101.53545202565147</v>
      </c>
      <c r="D776" s="1175">
        <v>-1927.369789091814</v>
      </c>
      <c r="E776" s="586">
        <v>3372.7361085641692</v>
      </c>
      <c r="F776" s="586">
        <v>3697.3263269206382</v>
      </c>
      <c r="G776" s="586">
        <v>3947.3629201745898</v>
      </c>
      <c r="H776" s="586">
        <v>7824.6763647059779</v>
      </c>
      <c r="I776" s="586">
        <v>10943.350326513277</v>
      </c>
      <c r="J776" s="586">
        <v>11581.734755541727</v>
      </c>
      <c r="K776" s="586">
        <v>12036.292618784668</v>
      </c>
      <c r="L776" s="586">
        <v>12879.438506684621</v>
      </c>
      <c r="M776" s="586">
        <v>13496.650205583941</v>
      </c>
      <c r="N776" s="586">
        <v>14643.07673901389</v>
      </c>
      <c r="O776" s="587">
        <v>14468.641114767033</v>
      </c>
      <c r="P776" s="167">
        <v>15300.589174727016</v>
      </c>
      <c r="Q776" s="167">
        <v>15704.112839441099</v>
      </c>
      <c r="R776" s="167">
        <v>16099.31551615199</v>
      </c>
      <c r="S776" s="167">
        <v>16485.535920099028</v>
      </c>
      <c r="T776" s="167">
        <v>16882.889514145903</v>
      </c>
      <c r="U776" s="167">
        <v>17441.313378718201</v>
      </c>
      <c r="V776" s="167">
        <v>18053.00000957532</v>
      </c>
      <c r="W776" s="167">
        <v>18686.93804735607</v>
      </c>
      <c r="X776" s="167">
        <v>19357.281755251475</v>
      </c>
      <c r="Y776"/>
      <c r="Z776"/>
      <c r="AA776"/>
      <c r="AB776"/>
      <c r="AC776"/>
      <c r="AD776"/>
      <c r="AE776"/>
      <c r="AF776"/>
      <c r="AG776"/>
    </row>
    <row r="777" spans="1:33" ht="12.75">
      <c r="A777" s="168" t="s">
        <v>31</v>
      </c>
      <c r="B777" s="581">
        <f>NPV(0.1,D777:Y777)</f>
        <v>83720.595400458595</v>
      </c>
      <c r="C777" s="581">
        <f>B777-B766</f>
        <v>48.74438343764632</v>
      </c>
      <c r="D777" s="588">
        <v>-5718.3348220110347</v>
      </c>
      <c r="E777" s="589">
        <v>3459.9728419598159</v>
      </c>
      <c r="F777" s="589">
        <v>4731.4671029329893</v>
      </c>
      <c r="G777" s="589">
        <v>3389.9846628584201</v>
      </c>
      <c r="H777" s="589">
        <v>13139.534775459859</v>
      </c>
      <c r="I777" s="589">
        <v>16840.061503987155</v>
      </c>
      <c r="J777" s="589">
        <v>12519.076276932959</v>
      </c>
      <c r="K777" s="589">
        <v>12970.039081999514</v>
      </c>
      <c r="L777" s="589">
        <v>10314.760920011464</v>
      </c>
      <c r="M777" s="589">
        <v>8553.4466687987842</v>
      </c>
      <c r="N777" s="589">
        <v>18420.702044276346</v>
      </c>
      <c r="O777" s="590">
        <v>18412.924031188933</v>
      </c>
      <c r="P777" s="167">
        <v>18379.446291281238</v>
      </c>
      <c r="Q777" s="167">
        <v>18771.952681690163</v>
      </c>
      <c r="R777" s="167">
        <v>19161.531308513058</v>
      </c>
      <c r="S777" s="167">
        <v>17854.690995500096</v>
      </c>
      <c r="T777" s="167">
        <v>13303.214724200661</v>
      </c>
      <c r="U777" s="167">
        <v>12535.646014579806</v>
      </c>
      <c r="V777" s="167">
        <v>11234.082645436923</v>
      </c>
      <c r="W777" s="167">
        <v>10692.368628376611</v>
      </c>
      <c r="X777" s="167">
        <v>22214.623256768136</v>
      </c>
      <c r="Y777"/>
      <c r="Z777"/>
      <c r="AA777"/>
      <c r="AB777"/>
      <c r="AC777"/>
      <c r="AD777"/>
      <c r="AE777"/>
      <c r="AF777"/>
      <c r="AG777"/>
    </row>
    <row r="780" spans="1:33" ht="12.75">
      <c r="A780" s="169" t="s">
        <v>714</v>
      </c>
      <c r="B780" s="163"/>
      <c r="C780" s="163"/>
      <c r="D780"/>
      <c r="E780"/>
      <c r="F780"/>
      <c r="G780"/>
      <c r="H780"/>
      <c r="I780"/>
      <c r="J780"/>
      <c r="K780"/>
      <c r="L780"/>
      <c r="M780"/>
      <c r="N780"/>
      <c r="O780"/>
      <c r="P780"/>
      <c r="Q780"/>
      <c r="R780"/>
      <c r="S780"/>
      <c r="T780"/>
      <c r="U780"/>
      <c r="V780"/>
      <c r="W780"/>
      <c r="X780"/>
      <c r="Y780"/>
      <c r="Z780"/>
      <c r="AA780"/>
      <c r="AB780"/>
      <c r="AC780"/>
      <c r="AD780"/>
      <c r="AE780"/>
      <c r="AF780"/>
      <c r="AG780"/>
    </row>
    <row r="781" spans="1:33" ht="12.75">
      <c r="A781" s="416">
        <v>36565</v>
      </c>
      <c r="B781" s="163"/>
      <c r="C781" s="163"/>
      <c r="D781"/>
      <c r="E781"/>
      <c r="F781"/>
      <c r="G781"/>
      <c r="H781"/>
      <c r="I781"/>
      <c r="J781"/>
      <c r="K781"/>
      <c r="L781"/>
      <c r="M781"/>
      <c r="N781"/>
      <c r="O781"/>
      <c r="P781"/>
      <c r="Q781"/>
      <c r="R781"/>
      <c r="S781"/>
      <c r="T781"/>
      <c r="U781"/>
      <c r="V781"/>
      <c r="W781"/>
      <c r="X781"/>
      <c r="Y781"/>
      <c r="Z781"/>
      <c r="AA781"/>
      <c r="AB781"/>
      <c r="AC781"/>
      <c r="AD781"/>
      <c r="AE781"/>
      <c r="AF781"/>
      <c r="AG781"/>
    </row>
    <row r="782" spans="1:33" ht="12.75">
      <c r="A782" s="164" t="s">
        <v>427</v>
      </c>
      <c r="B782" s="172">
        <v>36638.74426588315</v>
      </c>
      <c r="C782" s="163"/>
      <c r="D782"/>
      <c r="E782"/>
      <c r="F782"/>
      <c r="G782"/>
      <c r="H782"/>
      <c r="I782"/>
      <c r="J782"/>
      <c r="K782"/>
      <c r="L782"/>
      <c r="M782"/>
      <c r="N782"/>
      <c r="O782"/>
      <c r="P782"/>
      <c r="Q782"/>
      <c r="R782"/>
      <c r="S782"/>
      <c r="T782"/>
      <c r="U782"/>
      <c r="V782"/>
      <c r="W782"/>
      <c r="X782"/>
      <c r="Y782"/>
      <c r="Z782"/>
      <c r="AA782"/>
      <c r="AB782"/>
      <c r="AC782"/>
      <c r="AD782"/>
      <c r="AE782"/>
      <c r="AF782"/>
      <c r="AG782"/>
    </row>
    <row r="783" spans="1:33" ht="12.75">
      <c r="A783" s="165" t="s">
        <v>428</v>
      </c>
      <c r="B783" s="1174">
        <v>66435.380546092099</v>
      </c>
      <c r="C783" s="163"/>
      <c r="D783"/>
      <c r="E783"/>
      <c r="F783"/>
      <c r="G783"/>
      <c r="H783"/>
      <c r="I783"/>
      <c r="J783"/>
      <c r="K783"/>
      <c r="L783"/>
      <c r="M783"/>
      <c r="N783"/>
      <c r="O783"/>
      <c r="P783"/>
      <c r="Q783"/>
      <c r="R783"/>
      <c r="S783"/>
      <c r="T783"/>
      <c r="U783"/>
      <c r="V783"/>
      <c r="W783"/>
      <c r="X783"/>
      <c r="Y783"/>
      <c r="Z783"/>
      <c r="AA783"/>
      <c r="AB783"/>
      <c r="AC783"/>
      <c r="AD783"/>
      <c r="AE783"/>
      <c r="AF783"/>
      <c r="AG783"/>
    </row>
    <row r="784" spans="1:33" ht="12.75">
      <c r="A784" s="166" t="s">
        <v>429</v>
      </c>
      <c r="B784" s="580" t="s">
        <v>499</v>
      </c>
      <c r="C784" s="580" t="s">
        <v>500</v>
      </c>
      <c r="D784" s="582">
        <v>1999</v>
      </c>
      <c r="E784" s="583">
        <v>2000</v>
      </c>
      <c r="F784" s="583">
        <v>2001</v>
      </c>
      <c r="G784" s="583">
        <v>2002</v>
      </c>
      <c r="H784" s="583">
        <v>2003</v>
      </c>
      <c r="I784" s="583">
        <v>2004</v>
      </c>
      <c r="J784" s="583">
        <v>2005</v>
      </c>
      <c r="K784" s="583">
        <v>2006</v>
      </c>
      <c r="L784" s="583">
        <v>2007</v>
      </c>
      <c r="M784" s="583">
        <v>2008</v>
      </c>
      <c r="N784" s="583">
        <v>2009</v>
      </c>
      <c r="O784" s="584">
        <v>2010</v>
      </c>
      <c r="P784" s="171">
        <v>2011</v>
      </c>
      <c r="Q784" s="171">
        <v>2012</v>
      </c>
      <c r="R784" s="171">
        <v>2013</v>
      </c>
      <c r="S784" s="171">
        <v>2014</v>
      </c>
      <c r="T784" s="171">
        <v>2015</v>
      </c>
      <c r="U784" s="171">
        <v>2016</v>
      </c>
      <c r="V784" s="171">
        <v>2017</v>
      </c>
      <c r="W784" s="171">
        <v>2018</v>
      </c>
      <c r="X784" s="171">
        <v>2019</v>
      </c>
      <c r="Y784"/>
      <c r="Z784"/>
      <c r="AA784"/>
      <c r="AB784"/>
      <c r="AC784"/>
      <c r="AD784"/>
      <c r="AE784"/>
      <c r="AF784"/>
      <c r="AG784"/>
    </row>
    <row r="785" spans="1:33" ht="12.75">
      <c r="A785" s="166" t="s">
        <v>430</v>
      </c>
      <c r="B785" s="581">
        <f>NPV(0.1,D785:Y785)</f>
        <v>418867.16558122361</v>
      </c>
      <c r="C785" s="581">
        <f>B785-B774</f>
        <v>0</v>
      </c>
      <c r="D785" s="585">
        <v>26898.216959999994</v>
      </c>
      <c r="E785" s="586">
        <v>40079.915814977372</v>
      </c>
      <c r="F785" s="586">
        <v>40673.161342217194</v>
      </c>
      <c r="G785" s="586">
        <v>40731.64097768371</v>
      </c>
      <c r="H785" s="586">
        <v>47605.84011425489</v>
      </c>
      <c r="I785" s="586">
        <v>52769.765885234337</v>
      </c>
      <c r="J785" s="586">
        <v>53213.775120657876</v>
      </c>
      <c r="K785" s="586">
        <v>53653.259503785877</v>
      </c>
      <c r="L785" s="586">
        <v>54718.611193040255</v>
      </c>
      <c r="M785" s="586">
        <v>55165.928277364612</v>
      </c>
      <c r="N785" s="586">
        <v>56276.660029826366</v>
      </c>
      <c r="O785" s="587">
        <v>56731.133874277803</v>
      </c>
      <c r="P785" s="167">
        <v>57888.82179464693</v>
      </c>
      <c r="Q785" s="167">
        <v>58349.665078533413</v>
      </c>
      <c r="R785" s="167">
        <v>58802.386402713681</v>
      </c>
      <c r="S785" s="167">
        <v>59246.083690649852</v>
      </c>
      <c r="T785" s="167">
        <v>59679.808050975516</v>
      </c>
      <c r="U785" s="167">
        <v>60102.561780474927</v>
      </c>
      <c r="V785" s="167">
        <v>60513.296289374215</v>
      </c>
      <c r="W785" s="167">
        <v>60910.909946080785</v>
      </c>
      <c r="X785" s="167">
        <v>61294.245838405084</v>
      </c>
      <c r="Y785"/>
      <c r="Z785"/>
      <c r="AA785"/>
      <c r="AB785"/>
      <c r="AC785"/>
      <c r="AD785"/>
      <c r="AE785"/>
      <c r="AF785"/>
      <c r="AG785"/>
    </row>
    <row r="786" spans="1:33" ht="12.75">
      <c r="A786" s="168" t="s">
        <v>431</v>
      </c>
      <c r="B786" s="581">
        <f>NPV(0.1,D786:Y786)</f>
        <v>196948.66441769307</v>
      </c>
      <c r="C786" s="581">
        <f>B786-B775</f>
        <v>0</v>
      </c>
      <c r="D786" s="585">
        <v>18832.90043852941</v>
      </c>
      <c r="E786" s="586">
        <v>20844.487525016189</v>
      </c>
      <c r="F786" s="586">
        <v>21182.181076477184</v>
      </c>
      <c r="G786" s="586">
        <v>21286.775003375376</v>
      </c>
      <c r="H786" s="586">
        <v>22536.046384290814</v>
      </c>
      <c r="I786" s="586">
        <v>23320.562652051376</v>
      </c>
      <c r="J786" s="586">
        <v>23450.050954769176</v>
      </c>
      <c r="K786" s="586">
        <v>23578.209624987991</v>
      </c>
      <c r="L786" s="586">
        <v>23710.712295039164</v>
      </c>
      <c r="M786" s="586">
        <v>23847.689284917666</v>
      </c>
      <c r="N786" s="586">
        <v>23983.727716153928</v>
      </c>
      <c r="O786" s="587">
        <v>24923.296514566449</v>
      </c>
      <c r="P786" s="167">
        <v>25007.952773081255</v>
      </c>
      <c r="Q786" s="167">
        <v>25081.003593787318</v>
      </c>
      <c r="R786" s="167">
        <v>25159.241377469338</v>
      </c>
      <c r="S786" s="167">
        <v>25242.821733016579</v>
      </c>
      <c r="T786" s="167">
        <v>25298.622289198698</v>
      </c>
      <c r="U786" s="167">
        <v>25343.449455679485</v>
      </c>
      <c r="V786" s="167">
        <v>25394.114594686842</v>
      </c>
      <c r="W786" s="167">
        <v>25550.64079055551</v>
      </c>
      <c r="X786" s="167">
        <v>25763.28446405708</v>
      </c>
      <c r="Y786"/>
      <c r="Z786"/>
      <c r="AA786"/>
      <c r="AB786"/>
      <c r="AC786"/>
      <c r="AD786"/>
      <c r="AE786"/>
      <c r="AF786"/>
      <c r="AG786"/>
    </row>
    <row r="787" spans="1:33" ht="12.75">
      <c r="A787" s="168" t="s">
        <v>34</v>
      </c>
      <c r="B787" s="581">
        <f>NPV(0.1,D787:Y787)</f>
        <v>80334.920399300318</v>
      </c>
      <c r="C787" s="581">
        <f>B787-B776</f>
        <v>-8.0677314526983537</v>
      </c>
      <c r="D787" s="586">
        <v>-1929.1903849251476</v>
      </c>
      <c r="E787" s="586">
        <v>3368.3666785641685</v>
      </c>
      <c r="F787" s="586">
        <v>3692.9568969206375</v>
      </c>
      <c r="G787" s="586">
        <v>3942.9934901745892</v>
      </c>
      <c r="H787" s="586">
        <v>7820.3069347059773</v>
      </c>
      <c r="I787" s="586">
        <v>10941.502354846611</v>
      </c>
      <c r="J787" s="586">
        <v>11583.416825541726</v>
      </c>
      <c r="K787" s="586">
        <v>12037.974688784665</v>
      </c>
      <c r="L787" s="586">
        <v>12881.12057668462</v>
      </c>
      <c r="M787" s="586">
        <v>13498.33227558394</v>
      </c>
      <c r="N787" s="586">
        <v>14644.758809013891</v>
      </c>
      <c r="O787" s="587">
        <v>14470.323184767034</v>
      </c>
      <c r="P787" s="167">
        <v>15302.271244727015</v>
      </c>
      <c r="Q787" s="167">
        <v>15705.7949094411</v>
      </c>
      <c r="R787" s="167">
        <v>16100.997586151989</v>
      </c>
      <c r="S787" s="167">
        <v>16487.21799009903</v>
      </c>
      <c r="T787" s="167">
        <v>16884.571584145902</v>
      </c>
      <c r="U787" s="167">
        <v>17442.995448718197</v>
      </c>
      <c r="V787" s="167">
        <v>18054.682079575323</v>
      </c>
      <c r="W787" s="167">
        <v>18688.620117356069</v>
      </c>
      <c r="X787" s="167">
        <v>19358.963825251474</v>
      </c>
      <c r="Y787"/>
      <c r="Z787"/>
      <c r="AA787"/>
      <c r="AB787"/>
      <c r="AC787"/>
      <c r="AD787"/>
      <c r="AE787"/>
      <c r="AF787"/>
      <c r="AG787"/>
    </row>
    <row r="788" spans="1:33" ht="12.75">
      <c r="A788" s="168" t="s">
        <v>31</v>
      </c>
      <c r="B788" s="581">
        <f>NPV(0.1,D788:Y788)</f>
        <v>83715.677307326638</v>
      </c>
      <c r="C788" s="581">
        <f>B788-B777</f>
        <v>-4.9180931319569936</v>
      </c>
      <c r="D788" s="588">
        <v>-5718.3348220110347</v>
      </c>
      <c r="E788" s="589">
        <v>3459.9728419598159</v>
      </c>
      <c r="F788" s="589">
        <v>4731.4671029329893</v>
      </c>
      <c r="G788" s="589">
        <v>3389.9846628584201</v>
      </c>
      <c r="H788" s="589">
        <v>13139.534775459859</v>
      </c>
      <c r="I788" s="589">
        <v>16843.553621887157</v>
      </c>
      <c r="J788" s="589">
        <v>12517.02714793296</v>
      </c>
      <c r="K788" s="589">
        <v>12967.986479899511</v>
      </c>
      <c r="L788" s="589">
        <v>10312.711791011465</v>
      </c>
      <c r="M788" s="589">
        <v>8551.3940666987855</v>
      </c>
      <c r="N788" s="589">
        <v>18418.652915276347</v>
      </c>
      <c r="O788" s="590">
        <v>18410.87142908894</v>
      </c>
      <c r="P788" s="167">
        <v>18377.397162281239</v>
      </c>
      <c r="Q788" s="167">
        <v>18769.900079590167</v>
      </c>
      <c r="R788" s="167">
        <v>19159.482179513059</v>
      </c>
      <c r="S788" s="167">
        <v>17853.6664310001</v>
      </c>
      <c r="T788" s="167">
        <v>13303.214724200661</v>
      </c>
      <c r="U788" s="167">
        <v>12535.646014579801</v>
      </c>
      <c r="V788" s="167">
        <v>11234.082645436923</v>
      </c>
      <c r="W788" s="167">
        <v>10692.368628376611</v>
      </c>
      <c r="X788" s="167">
        <v>22214.623256768144</v>
      </c>
      <c r="Y788"/>
      <c r="Z788"/>
      <c r="AA788"/>
      <c r="AB788"/>
      <c r="AC788"/>
      <c r="AD788"/>
      <c r="AE788"/>
      <c r="AF788"/>
      <c r="AG788"/>
    </row>
  </sheetData>
  <hyperlinks>
    <hyperlink ref="D776" location="'Book Income Statement'!D72"/>
  </hyperlinks>
  <pageMargins left="0.75" right="0.75" top="1" bottom="1" header="0.5" footer="0.5"/>
  <pageSetup scale="54" fitToHeight="6" orientation="landscape" r:id="rId1"/>
  <headerFooter alignWithMargins="0">
    <oddFooter>&amp;L&amp;D
&amp;T&amp;R&amp;F
&amp;A Page &amp;P</oddFooter>
  </headerFooter>
  <rowBreaks count="1" manualBreakCount="1">
    <brk id="115" max="7" man="1"/>
  </rowBreaks>
  <colBreaks count="2" manualBreakCount="2">
    <brk id="23" min="4" max="198" man="1"/>
    <brk id="2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B54"/>
  <sheetViews>
    <sheetView topLeftCell="D25" workbookViewId="0">
      <pane xSplit="14865" topLeftCell="T1"/>
      <selection activeCell="D46" sqref="D46:X46"/>
      <selection pane="topRight" activeCell="T14" sqref="T14"/>
    </sheetView>
  </sheetViews>
  <sheetFormatPr defaultRowHeight="11.25" outlineLevelRow="1"/>
  <cols>
    <col min="1" max="1" width="18" style="170" customWidth="1"/>
    <col min="2" max="2" width="16.5703125" style="170" customWidth="1"/>
    <col min="3" max="4" width="7.7109375" style="170" bestFit="1" customWidth="1"/>
    <col min="5" max="22" width="8.28515625" style="170" bestFit="1" customWidth="1"/>
    <col min="23" max="24" width="8.28515625" style="14" customWidth="1"/>
    <col min="25" max="16384" width="9.140625" style="14"/>
  </cols>
  <sheetData>
    <row r="1" spans="1:28" ht="20.25">
      <c r="A1" s="634" t="str">
        <f>'Project Assumptions'!$A$2</f>
        <v>CALEDONIA, Lowndes County, MS</v>
      </c>
      <c r="B1" s="635"/>
      <c r="C1" s="635"/>
      <c r="D1" s="636"/>
      <c r="E1" s="163"/>
      <c r="F1" s="163"/>
      <c r="G1" s="163"/>
      <c r="H1" s="163"/>
      <c r="I1" s="163"/>
      <c r="J1" s="163"/>
      <c r="K1" s="163"/>
      <c r="L1" s="163"/>
      <c r="M1" s="163"/>
      <c r="N1" s="163"/>
      <c r="O1" s="163"/>
      <c r="P1" s="163"/>
      <c r="Q1" s="163"/>
      <c r="R1" s="163"/>
      <c r="S1" s="163"/>
      <c r="T1" s="163"/>
      <c r="U1" s="163"/>
      <c r="V1" s="163"/>
      <c r="W1" s="163"/>
      <c r="X1" s="163"/>
    </row>
    <row r="2" spans="1:28" ht="12.75">
      <c r="A2" s="637" t="s">
        <v>309</v>
      </c>
      <c r="B2" s="638"/>
      <c r="C2" s="638"/>
      <c r="D2" s="639"/>
      <c r="E2" s="163"/>
      <c r="F2" s="163"/>
      <c r="G2" s="163"/>
      <c r="H2" s="163"/>
      <c r="I2" s="163"/>
      <c r="J2" s="163"/>
      <c r="K2" s="163"/>
      <c r="L2" s="163"/>
      <c r="M2" s="163"/>
      <c r="N2" s="163"/>
      <c r="O2" s="163"/>
      <c r="P2" s="163"/>
      <c r="Q2" s="163"/>
      <c r="R2" s="163"/>
      <c r="S2" s="163"/>
      <c r="T2" s="163"/>
      <c r="U2" s="163"/>
      <c r="V2" s="163"/>
      <c r="W2" s="163"/>
      <c r="X2" s="163"/>
    </row>
    <row r="3" spans="1:28" ht="12.75">
      <c r="A3" s="163"/>
      <c r="B3" s="163"/>
      <c r="C3" s="163"/>
      <c r="D3" s="176">
        <f>'[4]PPA Assumptions &amp;Summary'!C3</f>
        <v>1</v>
      </c>
      <c r="E3" s="176">
        <f>'[4]PPA Assumptions &amp;Summary'!D3</f>
        <v>2</v>
      </c>
      <c r="F3" s="176">
        <f>'[4]PPA Assumptions &amp;Summary'!E3</f>
        <v>3</v>
      </c>
      <c r="G3" s="176">
        <f>'[4]PPA Assumptions &amp;Summary'!F3</f>
        <v>4</v>
      </c>
      <c r="H3" s="176">
        <f>'[4]PPA Assumptions &amp;Summary'!G3</f>
        <v>5</v>
      </c>
      <c r="I3" s="176">
        <f>'[4]PPA Assumptions &amp;Summary'!H3</f>
        <v>6</v>
      </c>
      <c r="J3" s="176">
        <f>'[4]PPA Assumptions &amp;Summary'!I3</f>
        <v>7</v>
      </c>
      <c r="K3" s="176">
        <f>'[4]PPA Assumptions &amp;Summary'!J3</f>
        <v>8</v>
      </c>
      <c r="L3" s="176">
        <f>'[4]PPA Assumptions &amp;Summary'!K3</f>
        <v>9</v>
      </c>
      <c r="M3" s="176">
        <f>'[4]PPA Assumptions &amp;Summary'!L3</f>
        <v>10</v>
      </c>
      <c r="N3" s="176">
        <f>'[4]PPA Assumptions &amp;Summary'!M3</f>
        <v>11</v>
      </c>
      <c r="O3" s="176">
        <f>'[4]PPA Assumptions &amp;Summary'!N3</f>
        <v>12</v>
      </c>
      <c r="P3" s="176">
        <f>'[4]PPA Assumptions &amp;Summary'!O3</f>
        <v>13</v>
      </c>
      <c r="Q3" s="176">
        <f>'[4]PPA Assumptions &amp;Summary'!P3</f>
        <v>14</v>
      </c>
      <c r="R3" s="176">
        <f>'[4]PPA Assumptions &amp;Summary'!Q3</f>
        <v>15</v>
      </c>
      <c r="S3" s="176">
        <f>'[4]PPA Assumptions &amp;Summary'!R3</f>
        <v>16</v>
      </c>
      <c r="T3" s="176">
        <f>'[4]PPA Assumptions &amp;Summary'!S3</f>
        <v>17</v>
      </c>
      <c r="U3" s="176">
        <f>'[4]PPA Assumptions &amp;Summary'!T3</f>
        <v>18</v>
      </c>
      <c r="V3" s="176">
        <f>'[4]PPA Assumptions &amp;Summary'!U3</f>
        <v>19</v>
      </c>
      <c r="W3" s="176">
        <f>'[4]PPA Assumptions &amp;Summary'!V3</f>
        <v>20</v>
      </c>
      <c r="X3" s="176">
        <f>'[4]PPA Assumptions &amp;Summary'!W3</f>
        <v>21</v>
      </c>
    </row>
    <row r="4" spans="1:28" ht="12.75">
      <c r="A4" s="758"/>
      <c r="B4" s="630"/>
      <c r="C4" s="630"/>
      <c r="D4" s="935">
        <f>'PPA Assumptions &amp; Summary'!C5</f>
        <v>1999</v>
      </c>
      <c r="E4" s="935">
        <f>'PPA Assumptions &amp; Summary'!D5</f>
        <v>2000</v>
      </c>
      <c r="F4" s="935">
        <f>'PPA Assumptions &amp; Summary'!E5</f>
        <v>2001</v>
      </c>
      <c r="G4" s="935">
        <f>'PPA Assumptions &amp; Summary'!F5</f>
        <v>2002</v>
      </c>
      <c r="H4" s="935">
        <f>'PPA Assumptions &amp; Summary'!G5</f>
        <v>2003</v>
      </c>
      <c r="I4" s="935">
        <f>'PPA Assumptions &amp; Summary'!H5</f>
        <v>2004</v>
      </c>
      <c r="J4" s="935">
        <f>'PPA Assumptions &amp; Summary'!I5</f>
        <v>2005</v>
      </c>
      <c r="K4" s="935">
        <f>'PPA Assumptions &amp; Summary'!J5</f>
        <v>2006</v>
      </c>
      <c r="L4" s="935">
        <f>'PPA Assumptions &amp; Summary'!K5</f>
        <v>2007</v>
      </c>
      <c r="M4" s="935">
        <f>'PPA Assumptions &amp; Summary'!L5</f>
        <v>2008</v>
      </c>
      <c r="N4" s="935">
        <f>'PPA Assumptions &amp; Summary'!M5</f>
        <v>2009</v>
      </c>
      <c r="O4" s="935">
        <f>'PPA Assumptions &amp; Summary'!N5</f>
        <v>2010</v>
      </c>
      <c r="P4" s="935">
        <f>'PPA Assumptions &amp; Summary'!O5</f>
        <v>2011</v>
      </c>
      <c r="Q4" s="935">
        <f>'PPA Assumptions &amp; Summary'!P5</f>
        <v>2012</v>
      </c>
      <c r="R4" s="935">
        <f>'PPA Assumptions &amp; Summary'!Q5</f>
        <v>2013</v>
      </c>
      <c r="S4" s="935">
        <f>'PPA Assumptions &amp; Summary'!R5</f>
        <v>2014</v>
      </c>
      <c r="T4" s="935">
        <f>'PPA Assumptions &amp; Summary'!S5</f>
        <v>2015</v>
      </c>
      <c r="U4" s="935">
        <f>'PPA Assumptions &amp; Summary'!T5</f>
        <v>2016</v>
      </c>
      <c r="V4" s="935">
        <f>'PPA Assumptions &amp; Summary'!U5</f>
        <v>2017</v>
      </c>
      <c r="W4" s="935">
        <f>'PPA Assumptions &amp; Summary'!V5</f>
        <v>2018</v>
      </c>
      <c r="X4" s="936">
        <f>'PPA Assumptions &amp; Summary'!W5</f>
        <v>2019</v>
      </c>
    </row>
    <row r="5" spans="1:28" ht="12.75">
      <c r="A5" s="937" t="s">
        <v>433</v>
      </c>
      <c r="B5" s="241"/>
      <c r="C5" s="241"/>
      <c r="D5" s="241"/>
      <c r="E5" s="241"/>
      <c r="F5" s="241"/>
      <c r="G5" s="241"/>
      <c r="H5" s="241"/>
      <c r="I5" s="241"/>
      <c r="J5" s="241"/>
      <c r="K5" s="241"/>
      <c r="L5" s="241"/>
      <c r="M5" s="241"/>
      <c r="N5" s="241"/>
      <c r="O5" s="241"/>
      <c r="P5" s="241"/>
      <c r="Q5" s="241"/>
      <c r="R5" s="241"/>
      <c r="S5" s="241"/>
      <c r="T5" s="241"/>
      <c r="U5" s="241"/>
      <c r="V5" s="241"/>
      <c r="W5" s="241"/>
      <c r="X5" s="807"/>
      <c r="Y5" s="23"/>
      <c r="Z5" s="23"/>
      <c r="AA5" s="23"/>
      <c r="AB5" s="23"/>
    </row>
    <row r="6" spans="1:28" ht="12.75">
      <c r="A6" s="678"/>
      <c r="B6" s="432" t="s">
        <v>310</v>
      </c>
      <c r="C6" s="241"/>
      <c r="D6" s="241"/>
      <c r="E6" s="241"/>
      <c r="F6" s="241"/>
      <c r="G6" s="241"/>
      <c r="H6" s="241"/>
      <c r="I6" s="241"/>
      <c r="J6" s="241"/>
      <c r="K6" s="241"/>
      <c r="L6" s="241"/>
      <c r="M6" s="241"/>
      <c r="N6" s="241"/>
      <c r="O6" s="241"/>
      <c r="P6" s="241"/>
      <c r="Q6" s="241"/>
      <c r="R6" s="241"/>
      <c r="S6" s="241"/>
      <c r="T6" s="241"/>
      <c r="U6" s="241"/>
      <c r="V6" s="241"/>
      <c r="W6" s="241"/>
      <c r="X6" s="807"/>
      <c r="Y6" s="23"/>
      <c r="Z6" s="23"/>
      <c r="AA6" s="23"/>
      <c r="AB6" s="23"/>
    </row>
    <row r="7" spans="1:28" ht="12.75" hidden="1" outlineLevel="1">
      <c r="A7" s="678"/>
      <c r="B7" s="432" t="s">
        <v>311</v>
      </c>
      <c r="C7" s="241"/>
      <c r="D7" s="241"/>
      <c r="E7" s="241"/>
      <c r="F7" s="241"/>
      <c r="G7" s="241"/>
      <c r="H7" s="241"/>
      <c r="I7" s="241"/>
      <c r="J7" s="241"/>
      <c r="K7" s="241"/>
      <c r="L7" s="241"/>
      <c r="M7" s="241"/>
      <c r="N7" s="241"/>
      <c r="O7" s="241"/>
      <c r="P7" s="241"/>
      <c r="Q7" s="241"/>
      <c r="R7" s="241"/>
      <c r="S7" s="241"/>
      <c r="T7" s="241"/>
      <c r="U7" s="241"/>
      <c r="V7" s="241"/>
      <c r="W7" s="241"/>
      <c r="X7" s="807"/>
      <c r="Y7" s="23"/>
      <c r="Z7" s="23"/>
      <c r="AA7" s="23"/>
      <c r="AB7" s="23"/>
    </row>
    <row r="8" spans="1:28" ht="12.75" hidden="1" outlineLevel="1">
      <c r="A8" s="678"/>
      <c r="B8" s="432" t="s">
        <v>312</v>
      </c>
      <c r="C8" s="241"/>
      <c r="D8" s="241"/>
      <c r="E8" s="241"/>
      <c r="F8" s="241"/>
      <c r="G8" s="241"/>
      <c r="H8" s="241"/>
      <c r="I8" s="241"/>
      <c r="J8" s="241"/>
      <c r="K8" s="241"/>
      <c r="L8" s="241"/>
      <c r="M8" s="241"/>
      <c r="N8" s="241"/>
      <c r="O8" s="241"/>
      <c r="P8" s="241"/>
      <c r="Q8" s="241"/>
      <c r="R8" s="241"/>
      <c r="S8" s="241"/>
      <c r="T8" s="241"/>
      <c r="U8" s="241"/>
      <c r="V8" s="241"/>
      <c r="W8" s="241"/>
      <c r="X8" s="807"/>
      <c r="Y8" s="23"/>
      <c r="Z8" s="23"/>
      <c r="AA8" s="23"/>
      <c r="AB8" s="23"/>
    </row>
    <row r="9" spans="1:28" ht="12.75" hidden="1" outlineLevel="1">
      <c r="A9" s="678"/>
      <c r="B9" s="432" t="s">
        <v>313</v>
      </c>
      <c r="C9" s="241"/>
      <c r="D9" s="241"/>
      <c r="E9" s="241"/>
      <c r="F9" s="241"/>
      <c r="G9" s="241"/>
      <c r="H9" s="241"/>
      <c r="I9" s="241"/>
      <c r="J9" s="241"/>
      <c r="K9" s="241"/>
      <c r="L9" s="241"/>
      <c r="M9" s="241"/>
      <c r="N9" s="241"/>
      <c r="O9" s="241"/>
      <c r="P9" s="241"/>
      <c r="Q9" s="241"/>
      <c r="R9" s="241"/>
      <c r="S9" s="241"/>
      <c r="T9" s="241"/>
      <c r="U9" s="241"/>
      <c r="V9" s="241"/>
      <c r="W9" s="241"/>
      <c r="X9" s="807"/>
      <c r="Y9" s="23"/>
      <c r="Z9" s="23"/>
      <c r="AA9" s="23"/>
      <c r="AB9" s="23"/>
    </row>
    <row r="10" spans="1:28" ht="12.75" collapsed="1">
      <c r="A10" s="678"/>
      <c r="B10" s="432" t="s">
        <v>314</v>
      </c>
      <c r="C10" s="241"/>
      <c r="D10" s="938">
        <f>IF(D3&gt;'Project Assumptions'!$G$40,0,'Project Assumptions'!$C$41+'Cash Flow Statement'!D16-'Cash Flow Statement'!D15)</f>
        <v>0</v>
      </c>
      <c r="E10" s="938">
        <f>IF(E3&gt;'Project Assumptions'!$G$40,0,'Project Assumptions'!$C$41+'Cash Flow Statement'!E16-'Cash Flow Statement'!E15)</f>
        <v>0</v>
      </c>
      <c r="F10" s="938">
        <f>IF(F3&gt;'Project Assumptions'!$G$40,0,'Project Assumptions'!$C$41+'Cash Flow Statement'!F16-'Cash Flow Statement'!F15)</f>
        <v>0</v>
      </c>
      <c r="G10" s="938">
        <f>IF(G3&gt;'Project Assumptions'!$G$40,0,'Project Assumptions'!$C$41+'Cash Flow Statement'!G16-'Cash Flow Statement'!G15)</f>
        <v>0</v>
      </c>
      <c r="H10" s="938">
        <f>IF(H3&gt;'Project Assumptions'!$G$40,0,'Project Assumptions'!$C$41+'Cash Flow Statement'!H16-'Cash Flow Statement'!H15)</f>
        <v>0</v>
      </c>
      <c r="I10" s="938">
        <f>IF(I3&gt;'Project Assumptions'!$G$40,0,'Project Assumptions'!$C$41+'Cash Flow Statement'!I16-'Cash Flow Statement'!I15)</f>
        <v>0</v>
      </c>
      <c r="J10" s="938">
        <f>IF(J3&gt;'Project Assumptions'!$G$40,0,'Project Assumptions'!$C$41+'Cash Flow Statement'!J16-'Cash Flow Statement'!J15)</f>
        <v>0</v>
      </c>
      <c r="K10" s="938">
        <f>IF(K3&gt;'Project Assumptions'!$G$40,0,'Project Assumptions'!$C$41+'Cash Flow Statement'!K16-'Cash Flow Statement'!K15)</f>
        <v>0</v>
      </c>
      <c r="L10" s="938">
        <f>IF(L3&gt;'Project Assumptions'!$G$40,0,'Project Assumptions'!$C$41+'Cash Flow Statement'!L16-'Cash Flow Statement'!L15)</f>
        <v>0</v>
      </c>
      <c r="M10" s="938">
        <f>IF(M3&gt;'Project Assumptions'!$G$40,0,'Project Assumptions'!$C$41+'Cash Flow Statement'!M16-'Cash Flow Statement'!M15)</f>
        <v>0</v>
      </c>
      <c r="N10" s="938">
        <f>IF(N3&gt;'Project Assumptions'!$G$40,0,'Project Assumptions'!$C$41+'Cash Flow Statement'!N16-'Cash Flow Statement'!N15)</f>
        <v>0</v>
      </c>
      <c r="O10" s="938">
        <f>IF(O3&gt;'Project Assumptions'!$G$40,0,'Project Assumptions'!$C$41+'Cash Flow Statement'!O16-'Cash Flow Statement'!O15)</f>
        <v>0</v>
      </c>
      <c r="P10" s="938">
        <f>IF(P3&gt;'Project Assumptions'!$G$40,0,'Project Assumptions'!$C$41+'Cash Flow Statement'!P16-'Cash Flow Statement'!P15)</f>
        <v>0</v>
      </c>
      <c r="Q10" s="938">
        <f>IF(Q3&gt;'Project Assumptions'!$G$40,0,'Project Assumptions'!$C$41+'Cash Flow Statement'!Q16-'Cash Flow Statement'!Q15)</f>
        <v>0</v>
      </c>
      <c r="R10" s="938">
        <f>IF(R3&gt;'Project Assumptions'!$G$40,0,'Project Assumptions'!$C$41+'Cash Flow Statement'!R16-'Cash Flow Statement'!R15)</f>
        <v>0</v>
      </c>
      <c r="S10" s="938">
        <f>IF(S3&gt;'Project Assumptions'!$G$40,0,'Project Assumptions'!$C$41+'Cash Flow Statement'!S16-'Cash Flow Statement'!S15)</f>
        <v>0</v>
      </c>
      <c r="T10" s="938">
        <f>IF(T3&gt;'Project Assumptions'!$G$40,0,'Project Assumptions'!$C$41+'Cash Flow Statement'!T16-'Cash Flow Statement'!T15)</f>
        <v>0</v>
      </c>
      <c r="U10" s="938">
        <f>IF(U3&gt;'Project Assumptions'!$G$40,0,'Project Assumptions'!$C$41+'Cash Flow Statement'!U16-'Cash Flow Statement'!U15)</f>
        <v>0</v>
      </c>
      <c r="V10" s="938">
        <f>IF(V3&gt;'Project Assumptions'!$G$40,0,'Project Assumptions'!$C$41+'Cash Flow Statement'!V16-'Cash Flow Statement'!V15)</f>
        <v>0</v>
      </c>
      <c r="W10" s="938">
        <f>IF(W3&gt;'Project Assumptions'!$G$40,0,'Project Assumptions'!$C$41+'Cash Flow Statement'!W16-'Cash Flow Statement'!W15)</f>
        <v>0</v>
      </c>
      <c r="X10" s="939">
        <f>IF(X3&gt;'Project Assumptions'!$G$40,0,'Project Assumptions'!$C$41+'Cash Flow Statement'!X16-'Cash Flow Statement'!X15)</f>
        <v>0</v>
      </c>
      <c r="Y10" s="23"/>
      <c r="Z10" s="23"/>
      <c r="AA10" s="23"/>
      <c r="AB10" s="23"/>
    </row>
    <row r="11" spans="1:28" ht="12.75">
      <c r="A11" s="678"/>
      <c r="B11" s="432" t="s">
        <v>434</v>
      </c>
      <c r="C11" s="241"/>
      <c r="D11" s="940">
        <f>'Maintainance Reserves'!C13</f>
        <v>1349.28</v>
      </c>
      <c r="E11" s="940">
        <f>'Maintainance Reserves'!D13</f>
        <v>2739.0384000000004</v>
      </c>
      <c r="F11" s="940">
        <f>'Maintainance Reserves'!E13</f>
        <v>4170.4895520000009</v>
      </c>
      <c r="G11" s="940">
        <f>'Maintainance Reserves'!F13</f>
        <v>4219.9900851000011</v>
      </c>
      <c r="H11" s="940">
        <f>'Maintainance Reserves'!G13</f>
        <v>5738.6166122568011</v>
      </c>
      <c r="I11" s="940">
        <f>'Maintainance Reserves'!H13</f>
        <v>7302.8019352283045</v>
      </c>
      <c r="J11" s="940">
        <f>'Maintainance Reserves'!I13</f>
        <v>7356.8925042610654</v>
      </c>
      <c r="K11" s="940">
        <f>'Maintainance Reserves'!J13</f>
        <v>9016.3367134015334</v>
      </c>
      <c r="L11" s="940">
        <f>'Maintainance Reserves'!K13</f>
        <v>10725.564248816216</v>
      </c>
      <c r="M11" s="940">
        <f>'Maintainance Reserves'!L13</f>
        <v>3365.0115218678402</v>
      </c>
      <c r="N11" s="940">
        <f>'Maintainance Reserves'!M13</f>
        <v>5178.3310141892762</v>
      </c>
      <c r="O11" s="940">
        <f>'Maintainance Reserves'!N13</f>
        <v>7046.0500912803564</v>
      </c>
      <c r="P11" s="940">
        <f>'Maintainance Reserves'!O13</f>
        <v>8969.800740684168</v>
      </c>
      <c r="Q11" s="940">
        <f>'Maintainance Reserves'!P13</f>
        <v>9036.3253179035273</v>
      </c>
      <c r="R11" s="940">
        <f>'Maintainance Reserves'!Q13</f>
        <v>11077.232381856031</v>
      </c>
      <c r="S11" s="940">
        <f>'Maintainance Reserves'!R13</f>
        <v>13179.366657727111</v>
      </c>
      <c r="T11" s="940">
        <f>'Maintainance Reserves'!S13</f>
        <v>1956.4991404731627</v>
      </c>
      <c r="U11" s="940">
        <f>'Maintainance Reserves'!T13</f>
        <v>4186.6533937447903</v>
      </c>
      <c r="V11" s="940">
        <f>'Maintainance Reserves'!U13</f>
        <v>6483.7122746145669</v>
      </c>
      <c r="W11" s="940">
        <f>'Maintainance Reserves'!V13</f>
        <v>-13393.891440036667</v>
      </c>
      <c r="X11" s="941">
        <f>'Maintainance Reserves'!W13</f>
        <v>-10956.94167332192</v>
      </c>
      <c r="Y11" s="23"/>
      <c r="Z11" s="23"/>
      <c r="AA11" s="23"/>
      <c r="AB11" s="23"/>
    </row>
    <row r="12" spans="1:28" ht="12.75">
      <c r="A12" s="678"/>
      <c r="B12" s="432" t="s">
        <v>315</v>
      </c>
      <c r="C12" s="241"/>
      <c r="D12" s="586">
        <f>SUM(D6:D11)</f>
        <v>1349.28</v>
      </c>
      <c r="E12" s="586">
        <f t="shared" ref="E12:X12" si="0">SUM(E6:E11)</f>
        <v>2739.0384000000004</v>
      </c>
      <c r="F12" s="586">
        <f t="shared" si="0"/>
        <v>4170.4895520000009</v>
      </c>
      <c r="G12" s="586">
        <f t="shared" si="0"/>
        <v>4219.9900851000011</v>
      </c>
      <c r="H12" s="586">
        <f t="shared" si="0"/>
        <v>5738.6166122568011</v>
      </c>
      <c r="I12" s="586">
        <f t="shared" si="0"/>
        <v>7302.8019352283045</v>
      </c>
      <c r="J12" s="586">
        <f t="shared" si="0"/>
        <v>7356.8925042610654</v>
      </c>
      <c r="K12" s="586">
        <f t="shared" si="0"/>
        <v>9016.3367134015334</v>
      </c>
      <c r="L12" s="586">
        <f t="shared" si="0"/>
        <v>10725.564248816216</v>
      </c>
      <c r="M12" s="586">
        <f t="shared" si="0"/>
        <v>3365.0115218678402</v>
      </c>
      <c r="N12" s="586">
        <f t="shared" si="0"/>
        <v>5178.3310141892762</v>
      </c>
      <c r="O12" s="586">
        <f t="shared" si="0"/>
        <v>7046.0500912803564</v>
      </c>
      <c r="P12" s="586">
        <f t="shared" si="0"/>
        <v>8969.800740684168</v>
      </c>
      <c r="Q12" s="586">
        <f t="shared" si="0"/>
        <v>9036.3253179035273</v>
      </c>
      <c r="R12" s="586">
        <f t="shared" si="0"/>
        <v>11077.232381856031</v>
      </c>
      <c r="S12" s="586">
        <f t="shared" si="0"/>
        <v>13179.366657727111</v>
      </c>
      <c r="T12" s="586">
        <f t="shared" si="0"/>
        <v>1956.4991404731627</v>
      </c>
      <c r="U12" s="586">
        <f t="shared" si="0"/>
        <v>4186.6533937447903</v>
      </c>
      <c r="V12" s="586">
        <f t="shared" si="0"/>
        <v>6483.7122746145669</v>
      </c>
      <c r="W12" s="586">
        <f t="shared" si="0"/>
        <v>-13393.891440036667</v>
      </c>
      <c r="X12" s="587">
        <f t="shared" si="0"/>
        <v>-10956.94167332192</v>
      </c>
      <c r="Y12" s="23"/>
      <c r="Z12" s="23"/>
      <c r="AA12" s="23"/>
      <c r="AB12" s="23"/>
    </row>
    <row r="13" spans="1:28" ht="12.75">
      <c r="A13" s="942"/>
      <c r="B13" s="241"/>
      <c r="C13" s="241"/>
      <c r="D13" s="241"/>
      <c r="E13" s="241"/>
      <c r="F13" s="241"/>
      <c r="G13" s="241"/>
      <c r="H13" s="241"/>
      <c r="I13" s="241"/>
      <c r="J13" s="241"/>
      <c r="K13" s="241"/>
      <c r="L13" s="241"/>
      <c r="M13" s="241"/>
      <c r="N13" s="241"/>
      <c r="O13" s="241"/>
      <c r="P13" s="241"/>
      <c r="Q13" s="241"/>
      <c r="R13" s="241"/>
      <c r="S13" s="241"/>
      <c r="T13" s="241"/>
      <c r="U13" s="241"/>
      <c r="V13" s="241"/>
      <c r="W13" s="241"/>
      <c r="X13" s="807"/>
      <c r="Y13" s="23"/>
      <c r="Z13" s="23"/>
      <c r="AA13" s="23"/>
      <c r="AB13" s="23"/>
    </row>
    <row r="14" spans="1:28" ht="12.75" outlineLevel="1">
      <c r="A14" s="942"/>
      <c r="B14" s="241"/>
      <c r="C14" s="241"/>
      <c r="D14" s="241"/>
      <c r="E14" s="241"/>
      <c r="F14" s="241"/>
      <c r="G14" s="241"/>
      <c r="H14" s="241"/>
      <c r="I14" s="241"/>
      <c r="J14" s="241"/>
      <c r="K14" s="241"/>
      <c r="L14" s="241"/>
      <c r="M14" s="241"/>
      <c r="N14" s="241"/>
      <c r="O14" s="241"/>
      <c r="P14" s="241"/>
      <c r="Q14" s="241"/>
      <c r="R14" s="241"/>
      <c r="S14" s="241"/>
      <c r="T14" s="241"/>
      <c r="U14" s="241"/>
      <c r="V14" s="241"/>
      <c r="W14" s="241"/>
      <c r="X14" s="807"/>
      <c r="Y14" s="23"/>
      <c r="Z14" s="23"/>
      <c r="AA14" s="23"/>
      <c r="AB14" s="23"/>
    </row>
    <row r="15" spans="1:28" ht="12.75" outlineLevel="1">
      <c r="A15" s="678"/>
      <c r="B15" s="432" t="s">
        <v>316</v>
      </c>
      <c r="C15" s="241"/>
      <c r="D15" s="586">
        <f>Depreciation!$B$38+Depreciation!$B$39+Depreciation!$B$40+SUM('Cash Flow Statement'!$D$17:D17)</f>
        <v>154206.27800000002</v>
      </c>
      <c r="E15" s="586">
        <f>Depreciation!$B$38+Depreciation!$B$39+Depreciation!$B$40+SUM('Cash Flow Statement'!$D$17:E17)</f>
        <v>157206.27800000002</v>
      </c>
      <c r="F15" s="586">
        <f>Depreciation!$B$38+Depreciation!$B$39+Depreciation!$B$40+SUM('Cash Flow Statement'!$D$17:F17)</f>
        <v>157206.27800000002</v>
      </c>
      <c r="G15" s="586">
        <f>Depreciation!$B$38+Depreciation!$B$39+Depreciation!$B$40+SUM('Cash Flow Statement'!$D$17:G17)</f>
        <v>157206.27800000002</v>
      </c>
      <c r="H15" s="586">
        <f>Depreciation!$B$38+Depreciation!$B$39+Depreciation!$B$40+SUM('Cash Flow Statement'!$D$17:H17)</f>
        <v>157206.27800000002</v>
      </c>
      <c r="I15" s="586">
        <f>Depreciation!$B$38+Depreciation!$B$39+Depreciation!$B$40+SUM('Cash Flow Statement'!$D$17:I17)</f>
        <v>157206.27800000002</v>
      </c>
      <c r="J15" s="586">
        <f>Depreciation!$B$38+Depreciation!$B$39+Depreciation!$B$40+SUM('Cash Flow Statement'!$D$17:J17)</f>
        <v>157206.27800000002</v>
      </c>
      <c r="K15" s="586">
        <f>Depreciation!$B$38+Depreciation!$B$39+Depreciation!$B$40+SUM('Cash Flow Statement'!$D$17:K17)</f>
        <v>157206.27800000002</v>
      </c>
      <c r="L15" s="586">
        <f>Depreciation!$B$38+Depreciation!$B$39+Depreciation!$B$40+SUM('Cash Flow Statement'!$D$17:L17)</f>
        <v>157206.27800000002</v>
      </c>
      <c r="M15" s="586">
        <f>Depreciation!$B$38+Depreciation!$B$39+Depreciation!$B$40+SUM('Cash Flow Statement'!$D$17:M17)</f>
        <v>157206.27800000002</v>
      </c>
      <c r="N15" s="586">
        <f>Depreciation!$B$38+Depreciation!$B$39+Depreciation!$B$40+SUM('Cash Flow Statement'!$D$17:N17)</f>
        <v>157206.27800000002</v>
      </c>
      <c r="O15" s="586">
        <f>Depreciation!$B$38+Depreciation!$B$39+Depreciation!$B$40+SUM('Cash Flow Statement'!$D$17:O17)</f>
        <v>157206.27800000002</v>
      </c>
      <c r="P15" s="586">
        <f>Depreciation!$B$38+Depreciation!$B$39+Depreciation!$B$40+SUM('Cash Flow Statement'!$D$17:P17)</f>
        <v>157206.27800000002</v>
      </c>
      <c r="Q15" s="586">
        <f>Depreciation!$B$38+Depreciation!$B$39+Depreciation!$B$40+SUM('Cash Flow Statement'!$D$17:Q17)</f>
        <v>157206.27800000002</v>
      </c>
      <c r="R15" s="586">
        <f>Depreciation!$B$38+Depreciation!$B$39+Depreciation!$B$40+SUM('Cash Flow Statement'!$D$17:R17)</f>
        <v>157206.27800000002</v>
      </c>
      <c r="S15" s="586">
        <f>Depreciation!$B$38+Depreciation!$B$39+Depreciation!$B$40+SUM('Cash Flow Statement'!$D$17:S17)</f>
        <v>157206.27800000002</v>
      </c>
      <c r="T15" s="586">
        <f>Depreciation!$B$38+Depreciation!$B$39+Depreciation!$B$40+SUM('Cash Flow Statement'!$D$17:T17)</f>
        <v>157206.27800000002</v>
      </c>
      <c r="U15" s="586">
        <f>Depreciation!$B$38+Depreciation!$B$39+Depreciation!$B$40+SUM('Cash Flow Statement'!$D$17:U17)</f>
        <v>157206.27800000002</v>
      </c>
      <c r="V15" s="586">
        <f>Depreciation!$B$38+Depreciation!$B$39+Depreciation!$B$40+SUM('Cash Flow Statement'!$D$17:V17)</f>
        <v>157206.27800000002</v>
      </c>
      <c r="W15" s="586">
        <f>Depreciation!$B$38+Depreciation!$B$39+Depreciation!$B$40+SUM('Cash Flow Statement'!$D$17:W17)</f>
        <v>157206.27800000002</v>
      </c>
      <c r="X15" s="587">
        <f>Depreciation!$B$38+Depreciation!$B$39+Depreciation!$B$40+SUM('Cash Flow Statement'!$D$17:X17)</f>
        <v>157206.27800000002</v>
      </c>
      <c r="Y15" s="23"/>
      <c r="Z15" s="23"/>
      <c r="AA15" s="23"/>
      <c r="AB15" s="23"/>
    </row>
    <row r="16" spans="1:28" ht="12.75" outlineLevel="1">
      <c r="A16" s="678"/>
      <c r="B16" s="432" t="s">
        <v>317</v>
      </c>
      <c r="C16" s="241"/>
      <c r="D16" s="943">
        <f>SUM(Depreciation!$D$43:D43)</f>
        <v>2151.860133333334</v>
      </c>
      <c r="E16" s="943">
        <f>SUM(Depreciation!$D$43:E43)</f>
        <v>7353.8244533333345</v>
      </c>
      <c r="F16" s="943">
        <f>SUM(Depreciation!$D$43:F43)</f>
        <v>12608.288773333334</v>
      </c>
      <c r="G16" s="943">
        <f>SUM(Depreciation!$D$43:G43)</f>
        <v>17862.753093333333</v>
      </c>
      <c r="H16" s="943">
        <f>SUM(Depreciation!$D$43:H43)</f>
        <v>23117.217413333332</v>
      </c>
      <c r="I16" s="943">
        <f>SUM(Depreciation!$D$43:I43)</f>
        <v>28120.00723333333</v>
      </c>
      <c r="J16" s="943">
        <f>SUM(Depreciation!$D$43:J43)</f>
        <v>32770.452753333331</v>
      </c>
      <c r="K16" s="943">
        <f>SUM(Depreciation!$D$43:K43)</f>
        <v>37420.898273333332</v>
      </c>
      <c r="L16" s="943">
        <f>SUM(Depreciation!$D$43:L43)</f>
        <v>42071.343793333333</v>
      </c>
      <c r="M16" s="943">
        <f>SUM(Depreciation!$D$43:M43)</f>
        <v>46721.789313333335</v>
      </c>
      <c r="N16" s="943">
        <f>SUM(Depreciation!$D$43:N43)</f>
        <v>51372.234833333336</v>
      </c>
      <c r="O16" s="943">
        <f>SUM(Depreciation!$D$43:O43)</f>
        <v>56022.680353333337</v>
      </c>
      <c r="P16" s="943">
        <f>SUM(Depreciation!$D$43:P43)</f>
        <v>60673.125873333338</v>
      </c>
      <c r="Q16" s="943">
        <f>SUM(Depreciation!$D$43:Q43)</f>
        <v>65323.571393333339</v>
      </c>
      <c r="R16" s="943">
        <f>SUM(Depreciation!$D$43:R43)</f>
        <v>69974.01691333334</v>
      </c>
      <c r="S16" s="943">
        <f>SUM(Depreciation!$D$43:S43)</f>
        <v>74624.462433333334</v>
      </c>
      <c r="T16" s="943">
        <f>SUM(Depreciation!$D$43:T43)</f>
        <v>79274.907953333328</v>
      </c>
      <c r="U16" s="943">
        <f>SUM(Depreciation!$D$43:U43)</f>
        <v>83925.353473333322</v>
      </c>
      <c r="V16" s="943">
        <f>SUM(Depreciation!$D$43:V43)</f>
        <v>88575.798993333316</v>
      </c>
      <c r="W16" s="943">
        <f>SUM(Depreciation!$D$43:W43)</f>
        <v>93226.244513333309</v>
      </c>
      <c r="X16" s="944">
        <f>SUM(Depreciation!$D$43:X43)</f>
        <v>97850.794199999975</v>
      </c>
      <c r="Y16" s="23"/>
      <c r="Z16" s="23"/>
      <c r="AA16" s="23"/>
      <c r="AB16" s="23"/>
    </row>
    <row r="17" spans="1:28" ht="12.75">
      <c r="A17" s="678"/>
      <c r="B17" s="432" t="s">
        <v>318</v>
      </c>
      <c r="C17" s="241"/>
      <c r="D17" s="586">
        <f>D15-D16</f>
        <v>152054.41786666668</v>
      </c>
      <c r="E17" s="586">
        <f t="shared" ref="E17:X17" si="1">E15-E16</f>
        <v>149852.45354666669</v>
      </c>
      <c r="F17" s="586">
        <f t="shared" si="1"/>
        <v>144597.98922666669</v>
      </c>
      <c r="G17" s="586">
        <f t="shared" si="1"/>
        <v>139343.52490666669</v>
      </c>
      <c r="H17" s="586">
        <f t="shared" si="1"/>
        <v>134089.06058666669</v>
      </c>
      <c r="I17" s="586">
        <f t="shared" si="1"/>
        <v>129086.27076666668</v>
      </c>
      <c r="J17" s="586">
        <f t="shared" si="1"/>
        <v>124435.82524666669</v>
      </c>
      <c r="K17" s="586">
        <f t="shared" si="1"/>
        <v>119785.3797266667</v>
      </c>
      <c r="L17" s="586">
        <f t="shared" si="1"/>
        <v>115134.93420666669</v>
      </c>
      <c r="M17" s="586">
        <f t="shared" si="1"/>
        <v>110484.48868666668</v>
      </c>
      <c r="N17" s="586">
        <f t="shared" si="1"/>
        <v>105834.04316666668</v>
      </c>
      <c r="O17" s="586">
        <f t="shared" si="1"/>
        <v>101183.59764666669</v>
      </c>
      <c r="P17" s="586">
        <f t="shared" si="1"/>
        <v>96533.152126666682</v>
      </c>
      <c r="Q17" s="586">
        <f t="shared" si="1"/>
        <v>91882.706606666674</v>
      </c>
      <c r="R17" s="586">
        <f t="shared" si="1"/>
        <v>87232.26108666668</v>
      </c>
      <c r="S17" s="586">
        <f t="shared" si="1"/>
        <v>82581.815566666686</v>
      </c>
      <c r="T17" s="586">
        <f t="shared" si="1"/>
        <v>77931.370046666692</v>
      </c>
      <c r="U17" s="586">
        <f t="shared" si="1"/>
        <v>73280.924526666699</v>
      </c>
      <c r="V17" s="586">
        <f t="shared" si="1"/>
        <v>68630.479006666705</v>
      </c>
      <c r="W17" s="586">
        <f t="shared" si="1"/>
        <v>63980.033486666711</v>
      </c>
      <c r="X17" s="587">
        <f t="shared" si="1"/>
        <v>59355.483800000045</v>
      </c>
      <c r="Y17" s="23"/>
      <c r="Z17" s="23"/>
      <c r="AA17" s="23"/>
      <c r="AB17" s="23"/>
    </row>
    <row r="18" spans="1:28" ht="12.75">
      <c r="A18" s="678"/>
      <c r="B18" s="432" t="s">
        <v>319</v>
      </c>
      <c r="C18" s="241"/>
      <c r="D18" s="241">
        <f>'Project Assumptions'!$C$18</f>
        <v>557.69299999999998</v>
      </c>
      <c r="E18" s="241">
        <f>'Project Assumptions'!$C$18</f>
        <v>557.69299999999998</v>
      </c>
      <c r="F18" s="241">
        <f>'Project Assumptions'!$C$18</f>
        <v>557.69299999999998</v>
      </c>
      <c r="G18" s="241">
        <f>'Project Assumptions'!$C$18</f>
        <v>557.69299999999998</v>
      </c>
      <c r="H18" s="241">
        <f>'Project Assumptions'!$C$18</f>
        <v>557.69299999999998</v>
      </c>
      <c r="I18" s="241">
        <f>'Project Assumptions'!$C$18</f>
        <v>557.69299999999998</v>
      </c>
      <c r="J18" s="241">
        <f>'Project Assumptions'!$C$18</f>
        <v>557.69299999999998</v>
      </c>
      <c r="K18" s="241">
        <f>'Project Assumptions'!$C$18</f>
        <v>557.69299999999998</v>
      </c>
      <c r="L18" s="241">
        <f>'Project Assumptions'!$C$18</f>
        <v>557.69299999999998</v>
      </c>
      <c r="M18" s="241">
        <f>'Project Assumptions'!$C$18</f>
        <v>557.69299999999998</v>
      </c>
      <c r="N18" s="241">
        <f>'Project Assumptions'!$C$18</f>
        <v>557.69299999999998</v>
      </c>
      <c r="O18" s="241">
        <f>'Project Assumptions'!$C$18</f>
        <v>557.69299999999998</v>
      </c>
      <c r="P18" s="241">
        <f>'Project Assumptions'!$C$18</f>
        <v>557.69299999999998</v>
      </c>
      <c r="Q18" s="241">
        <f>'Project Assumptions'!$C$18</f>
        <v>557.69299999999998</v>
      </c>
      <c r="R18" s="241">
        <f>'Project Assumptions'!$C$18</f>
        <v>557.69299999999998</v>
      </c>
      <c r="S18" s="241">
        <f>'Project Assumptions'!$C$18</f>
        <v>557.69299999999998</v>
      </c>
      <c r="T18" s="241">
        <f>'Project Assumptions'!$C$18</f>
        <v>557.69299999999998</v>
      </c>
      <c r="U18" s="241">
        <f>'Project Assumptions'!$C$18</f>
        <v>557.69299999999998</v>
      </c>
      <c r="V18" s="241">
        <f>'Project Assumptions'!$C$18</f>
        <v>557.69299999999998</v>
      </c>
      <c r="W18" s="241">
        <f>'Project Assumptions'!$C$18</f>
        <v>557.69299999999998</v>
      </c>
      <c r="X18" s="807">
        <f>'Project Assumptions'!$C$18</f>
        <v>557.69299999999998</v>
      </c>
      <c r="Y18" s="23"/>
      <c r="Z18" s="23"/>
      <c r="AA18" s="23"/>
      <c r="AB18" s="23"/>
    </row>
    <row r="19" spans="1:28" ht="12.75">
      <c r="A19" s="678"/>
      <c r="B19" s="432" t="s">
        <v>320</v>
      </c>
      <c r="C19" s="241"/>
      <c r="D19" s="940">
        <v>0</v>
      </c>
      <c r="E19" s="940">
        <v>0</v>
      </c>
      <c r="F19" s="940">
        <v>0</v>
      </c>
      <c r="G19" s="940">
        <v>0</v>
      </c>
      <c r="H19" s="940">
        <v>0</v>
      </c>
      <c r="I19" s="940">
        <v>0</v>
      </c>
      <c r="J19" s="940">
        <v>0</v>
      </c>
      <c r="K19" s="940">
        <v>0</v>
      </c>
      <c r="L19" s="940">
        <v>0</v>
      </c>
      <c r="M19" s="940">
        <v>0</v>
      </c>
      <c r="N19" s="940">
        <v>0</v>
      </c>
      <c r="O19" s="940">
        <v>0</v>
      </c>
      <c r="P19" s="940">
        <v>0</v>
      </c>
      <c r="Q19" s="940">
        <v>0</v>
      </c>
      <c r="R19" s="940">
        <v>0</v>
      </c>
      <c r="S19" s="940">
        <v>0</v>
      </c>
      <c r="T19" s="940">
        <v>0</v>
      </c>
      <c r="U19" s="940">
        <v>0</v>
      </c>
      <c r="V19" s="940">
        <v>0</v>
      </c>
      <c r="W19" s="940">
        <v>0</v>
      </c>
      <c r="X19" s="941">
        <v>0</v>
      </c>
      <c r="Y19" s="23"/>
      <c r="Z19" s="23"/>
      <c r="AA19" s="23"/>
      <c r="AB19" s="23"/>
    </row>
    <row r="20" spans="1:28" ht="12.75">
      <c r="A20" s="942"/>
      <c r="B20" s="241"/>
      <c r="C20" s="241"/>
      <c r="D20" s="241"/>
      <c r="E20" s="241"/>
      <c r="F20" s="241"/>
      <c r="G20" s="241"/>
      <c r="H20" s="241"/>
      <c r="I20" s="241"/>
      <c r="J20" s="241"/>
      <c r="K20" s="241"/>
      <c r="L20" s="241"/>
      <c r="M20" s="241"/>
      <c r="N20" s="241"/>
      <c r="O20" s="241"/>
      <c r="P20" s="241"/>
      <c r="Q20" s="241"/>
      <c r="R20" s="241"/>
      <c r="S20" s="241"/>
      <c r="T20" s="241"/>
      <c r="U20" s="241"/>
      <c r="V20" s="241"/>
      <c r="W20" s="241"/>
      <c r="X20" s="807"/>
      <c r="Y20" s="23"/>
      <c r="Z20" s="23"/>
      <c r="AA20" s="23"/>
      <c r="AB20" s="23"/>
    </row>
    <row r="21" spans="1:28" ht="12.75">
      <c r="A21" s="945" t="s">
        <v>321</v>
      </c>
      <c r="B21" s="632"/>
      <c r="C21" s="632"/>
      <c r="D21" s="589">
        <f>D12+SUM(D17:D19)</f>
        <v>153961.39086666668</v>
      </c>
      <c r="E21" s="589">
        <f t="shared" ref="E21:X21" si="2">E12+SUM(E17:E19)</f>
        <v>153149.18494666668</v>
      </c>
      <c r="F21" s="589">
        <f t="shared" si="2"/>
        <v>149326.1717786667</v>
      </c>
      <c r="G21" s="589">
        <f t="shared" si="2"/>
        <v>144121.20799176669</v>
      </c>
      <c r="H21" s="589">
        <f t="shared" si="2"/>
        <v>140385.37019892348</v>
      </c>
      <c r="I21" s="589">
        <f t="shared" si="2"/>
        <v>136946.765701895</v>
      </c>
      <c r="J21" s="589">
        <f t="shared" si="2"/>
        <v>132350.41075092775</v>
      </c>
      <c r="K21" s="589">
        <f t="shared" si="2"/>
        <v>129359.40944006822</v>
      </c>
      <c r="L21" s="589">
        <f t="shared" si="2"/>
        <v>126418.1914554829</v>
      </c>
      <c r="M21" s="589">
        <f t="shared" si="2"/>
        <v>114407.19320853452</v>
      </c>
      <c r="N21" s="589">
        <f t="shared" si="2"/>
        <v>111570.06718085596</v>
      </c>
      <c r="O21" s="589">
        <f t="shared" si="2"/>
        <v>108787.34073794704</v>
      </c>
      <c r="P21" s="589">
        <f t="shared" si="2"/>
        <v>106060.64586735085</v>
      </c>
      <c r="Q21" s="589">
        <f t="shared" si="2"/>
        <v>101476.7249245702</v>
      </c>
      <c r="R21" s="589">
        <f t="shared" si="2"/>
        <v>98867.186468522705</v>
      </c>
      <c r="S21" s="589">
        <f t="shared" si="2"/>
        <v>96318.875224393792</v>
      </c>
      <c r="T21" s="589">
        <f t="shared" si="2"/>
        <v>80445.562187139847</v>
      </c>
      <c r="U21" s="589">
        <f t="shared" si="2"/>
        <v>78025.270920411494</v>
      </c>
      <c r="V21" s="589">
        <f t="shared" si="2"/>
        <v>75671.884281281265</v>
      </c>
      <c r="W21" s="589">
        <f t="shared" si="2"/>
        <v>51143.835046630047</v>
      </c>
      <c r="X21" s="590">
        <f t="shared" si="2"/>
        <v>48956.235126678126</v>
      </c>
      <c r="Y21" s="23"/>
      <c r="Z21" s="23"/>
      <c r="AA21" s="23"/>
      <c r="AB21" s="23"/>
    </row>
    <row r="22" spans="1:28" ht="12.75">
      <c r="A22" s="174"/>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23"/>
      <c r="Z22" s="23"/>
      <c r="AA22" s="23"/>
      <c r="AB22" s="23"/>
    </row>
    <row r="23" spans="1:28" ht="12.75">
      <c r="A23" s="946" t="s">
        <v>322</v>
      </c>
      <c r="B23" s="630"/>
      <c r="C23" s="630"/>
      <c r="D23" s="630"/>
      <c r="E23" s="630"/>
      <c r="F23" s="630"/>
      <c r="G23" s="630"/>
      <c r="H23" s="630"/>
      <c r="I23" s="630"/>
      <c r="J23" s="630"/>
      <c r="K23" s="630"/>
      <c r="L23" s="630"/>
      <c r="M23" s="630"/>
      <c r="N23" s="630"/>
      <c r="O23" s="630"/>
      <c r="P23" s="630"/>
      <c r="Q23" s="630"/>
      <c r="R23" s="630"/>
      <c r="S23" s="630"/>
      <c r="T23" s="630"/>
      <c r="U23" s="630"/>
      <c r="V23" s="630"/>
      <c r="W23" s="630"/>
      <c r="X23" s="631"/>
      <c r="Y23" s="23"/>
      <c r="Z23" s="23"/>
      <c r="AA23" s="23"/>
      <c r="AB23" s="23"/>
    </row>
    <row r="24" spans="1:28" ht="12.75">
      <c r="A24" s="678"/>
      <c r="B24" s="432" t="s">
        <v>323</v>
      </c>
      <c r="C24" s="241"/>
      <c r="D24" s="947">
        <f>'Maintainance Reserves'!C13</f>
        <v>1349.28</v>
      </c>
      <c r="E24" s="947">
        <f>'Maintainance Reserves'!D13</f>
        <v>2739.0384000000004</v>
      </c>
      <c r="F24" s="947">
        <f>'Maintainance Reserves'!E13</f>
        <v>4170.4895520000009</v>
      </c>
      <c r="G24" s="947">
        <f>'Maintainance Reserves'!F13</f>
        <v>4219.9900851000011</v>
      </c>
      <c r="H24" s="947">
        <f>'Maintainance Reserves'!G13</f>
        <v>5738.6166122568011</v>
      </c>
      <c r="I24" s="947">
        <f>'Maintainance Reserves'!H13</f>
        <v>7302.8019352283045</v>
      </c>
      <c r="J24" s="947">
        <f>'Maintainance Reserves'!I13</f>
        <v>7356.8925042610654</v>
      </c>
      <c r="K24" s="947">
        <f>'Maintainance Reserves'!J13</f>
        <v>9016.3367134015334</v>
      </c>
      <c r="L24" s="947">
        <f>'Maintainance Reserves'!K13</f>
        <v>10725.564248816216</v>
      </c>
      <c r="M24" s="947">
        <f>'Maintainance Reserves'!L13</f>
        <v>3365.0115218678402</v>
      </c>
      <c r="N24" s="947">
        <f>'Maintainance Reserves'!M13</f>
        <v>5178.3310141892762</v>
      </c>
      <c r="O24" s="947">
        <f>'Maintainance Reserves'!N13</f>
        <v>7046.0500912803564</v>
      </c>
      <c r="P24" s="947">
        <f>'Maintainance Reserves'!O13</f>
        <v>8969.800740684168</v>
      </c>
      <c r="Q24" s="947">
        <f>'Maintainance Reserves'!P13</f>
        <v>9036.3253179035273</v>
      </c>
      <c r="R24" s="947">
        <f>'Maintainance Reserves'!Q13</f>
        <v>11077.232381856031</v>
      </c>
      <c r="S24" s="947">
        <f>'Maintainance Reserves'!R13</f>
        <v>13179.366657727111</v>
      </c>
      <c r="T24" s="947">
        <f>'Maintainance Reserves'!S13</f>
        <v>1956.4991404731627</v>
      </c>
      <c r="U24" s="947">
        <f>'Maintainance Reserves'!T13</f>
        <v>4186.6533937447903</v>
      </c>
      <c r="V24" s="947">
        <f>'Maintainance Reserves'!U13</f>
        <v>6483.7122746145669</v>
      </c>
      <c r="W24" s="947">
        <f>'Maintainance Reserves'!V13</f>
        <v>-13393.891440036667</v>
      </c>
      <c r="X24" s="948">
        <f>'Maintainance Reserves'!W13</f>
        <v>-10956.94167332192</v>
      </c>
      <c r="Y24" s="23"/>
      <c r="Z24" s="23"/>
      <c r="AA24" s="23"/>
      <c r="AB24" s="23"/>
    </row>
    <row r="25" spans="1:28" ht="12.75">
      <c r="A25" s="678"/>
      <c r="B25" s="432" t="s">
        <v>324</v>
      </c>
      <c r="C25" s="241"/>
      <c r="D25" s="241"/>
      <c r="E25" s="241"/>
      <c r="F25" s="241"/>
      <c r="G25" s="241"/>
      <c r="H25" s="241"/>
      <c r="I25" s="241"/>
      <c r="J25" s="241"/>
      <c r="K25" s="241"/>
      <c r="L25" s="241"/>
      <c r="M25" s="241"/>
      <c r="N25" s="241"/>
      <c r="O25" s="241"/>
      <c r="P25" s="241"/>
      <c r="Q25" s="241"/>
      <c r="R25" s="241"/>
      <c r="S25" s="241"/>
      <c r="T25" s="241"/>
      <c r="U25" s="241"/>
      <c r="V25" s="241"/>
      <c r="W25" s="241"/>
      <c r="X25" s="807"/>
      <c r="Y25" s="23"/>
      <c r="Z25" s="23"/>
      <c r="AA25" s="23"/>
      <c r="AB25" s="23"/>
    </row>
    <row r="26" spans="1:28" ht="12.75">
      <c r="A26" s="678"/>
      <c r="B26" s="432" t="s">
        <v>435</v>
      </c>
      <c r="C26" s="241"/>
      <c r="D26" s="586">
        <f>'Tax Calculations'!D63</f>
        <v>-1195.0045704192207</v>
      </c>
      <c r="E26" s="586">
        <f>'Tax Calculations'!E63</f>
        <v>1440.6372729764234</v>
      </c>
      <c r="F26" s="586">
        <f>'Tax Calculations'!F63</f>
        <v>3717.0831589887771</v>
      </c>
      <c r="G26" s="586">
        <f>'Tax Calculations'!G63</f>
        <v>6148.4100116726058</v>
      </c>
      <c r="H26" s="586">
        <f>'Tax Calculations'!H63</f>
        <v>10981.473532426486</v>
      </c>
      <c r="I26" s="586">
        <f>'Tax Calculations'!I63</f>
        <v>16649.034979467033</v>
      </c>
      <c r="J26" s="586">
        <f>'Tax Calculations'!J63</f>
        <v>18338.249781858263</v>
      </c>
      <c r="K26" s="586">
        <f>'Tax Calculations'!K63</f>
        <v>20023.866052973106</v>
      </c>
      <c r="L26" s="586">
        <f>'Tax Calculations'!L63</f>
        <v>21703.861747299947</v>
      </c>
      <c r="M26" s="586">
        <f>'Tax Calculations'!M63</f>
        <v>23389.478018414789</v>
      </c>
      <c r="N26" s="586">
        <f>'Tax Calculations'!N63</f>
        <v>25063.926604677246</v>
      </c>
      <c r="O26" s="586">
        <f>'Tax Calculations'!O63</f>
        <v>27542.779328999146</v>
      </c>
      <c r="P26" s="586">
        <f>'Tax Calculations'!P63</f>
        <v>29156.209726553367</v>
      </c>
      <c r="Q26" s="586">
        <f>'Tax Calculations'!Q63</f>
        <v>30758.619376702431</v>
      </c>
      <c r="R26" s="586">
        <f>'Tax Calculations'!R63</f>
        <v>32355.4084500635</v>
      </c>
      <c r="S26" s="586">
        <f>'Tax Calculations'!S63</f>
        <v>32260.161370964568</v>
      </c>
      <c r="T26" s="586">
        <f>'Tax Calculations'!T63</f>
        <v>30405.858991019326</v>
      </c>
      <c r="U26" s="586">
        <f>'Tax Calculations'!U63</f>
        <v>28501.064036880933</v>
      </c>
      <c r="V26" s="586">
        <f>'Tax Calculations'!V63</f>
        <v>26596.269082742536</v>
      </c>
      <c r="W26" s="586">
        <f>'Tax Calculations'!W63</f>
        <v>24791.322073763073</v>
      </c>
      <c r="X26" s="587">
        <f>'Tax Calculations'!X63</f>
        <v>23022.431818613073</v>
      </c>
      <c r="Y26" s="23"/>
      <c r="Z26" s="23"/>
      <c r="AA26" s="23"/>
      <c r="AB26" s="23"/>
    </row>
    <row r="27" spans="1:28" ht="12.75" outlineLevel="1">
      <c r="A27" s="678"/>
      <c r="B27" s="432" t="s">
        <v>325</v>
      </c>
      <c r="C27" s="241"/>
      <c r="D27" s="241"/>
      <c r="E27" s="241"/>
      <c r="F27" s="241"/>
      <c r="G27" s="241"/>
      <c r="H27" s="241"/>
      <c r="I27" s="241"/>
      <c r="J27" s="241"/>
      <c r="K27" s="241"/>
      <c r="L27" s="241"/>
      <c r="M27" s="241"/>
      <c r="N27" s="241"/>
      <c r="O27" s="241"/>
      <c r="P27" s="241"/>
      <c r="Q27" s="241"/>
      <c r="R27" s="241"/>
      <c r="S27" s="241"/>
      <c r="T27" s="241"/>
      <c r="U27" s="241"/>
      <c r="V27" s="241"/>
      <c r="W27" s="241"/>
      <c r="X27" s="807"/>
      <c r="Y27" s="23"/>
      <c r="Z27" s="23"/>
      <c r="AA27" s="23"/>
      <c r="AB27" s="23"/>
    </row>
    <row r="28" spans="1:28" ht="12.75" outlineLevel="1">
      <c r="A28" s="678"/>
      <c r="B28" s="432" t="s">
        <v>326</v>
      </c>
      <c r="C28" s="241"/>
      <c r="D28" s="586">
        <f>'Debt Amortization'!E55</f>
        <v>112941</v>
      </c>
      <c r="E28" s="586">
        <f>'Debt Amortization'!F55</f>
        <v>108195</v>
      </c>
      <c r="F28" s="586">
        <f>'Debt Amortization'!G55</f>
        <v>101702.6</v>
      </c>
      <c r="G28" s="586">
        <f>'Debt Amortization'!H55</f>
        <v>93463.8</v>
      </c>
      <c r="H28" s="586">
        <f>'Debt Amortization'!I55</f>
        <v>88695.5</v>
      </c>
      <c r="I28" s="586">
        <f>'Debt Amortization'!J55</f>
        <v>83927.2</v>
      </c>
      <c r="J28" s="586">
        <f>'Debt Amortization'!K55</f>
        <v>78521.149999999994</v>
      </c>
      <c r="K28" s="586">
        <f>'Debt Amortization'!L55</f>
        <v>73115.100000000006</v>
      </c>
      <c r="L28" s="586">
        <f>'Debt Amortization'!M55</f>
        <v>64216.25</v>
      </c>
      <c r="M28" s="586">
        <f>'Debt Amortization'!N55</f>
        <v>52933.25</v>
      </c>
      <c r="N28" s="586">
        <f>'Debt Amortization'!O55</f>
        <v>50382.25</v>
      </c>
      <c r="O28" s="586">
        <f>'Debt Amortization'!P55</f>
        <v>47193.5</v>
      </c>
      <c r="P28" s="586">
        <f>'Debt Amortization'!Q55</f>
        <v>44004.75</v>
      </c>
      <c r="Q28" s="586">
        <f>'Debt Amortization'!R55</f>
        <v>40816</v>
      </c>
      <c r="R28" s="586">
        <f>'Debt Amortization'!S55</f>
        <v>37627.25</v>
      </c>
      <c r="S28" s="586">
        <f>'Debt Amortization'!T55</f>
        <v>34438.5</v>
      </c>
      <c r="T28" s="586">
        <f>'Debt Amortization'!U55</f>
        <v>28061</v>
      </c>
      <c r="U28" s="586">
        <f>'Debt Amortization'!V55</f>
        <v>20408</v>
      </c>
      <c r="V28" s="586">
        <f>'Debt Amortization'!W55</f>
        <v>10841.75</v>
      </c>
      <c r="W28" s="586">
        <f>'Debt Amortization'!X55</f>
        <v>0</v>
      </c>
      <c r="X28" s="587">
        <f>'Debt Amortization'!Y55</f>
        <v>0</v>
      </c>
      <c r="Y28" s="23"/>
      <c r="Z28" s="23"/>
      <c r="AA28" s="23"/>
      <c r="AB28" s="23"/>
    </row>
    <row r="29" spans="1:28" ht="12.75">
      <c r="A29" s="678"/>
      <c r="B29" s="432" t="s">
        <v>327</v>
      </c>
      <c r="C29" s="241"/>
      <c r="D29" s="940">
        <v>0</v>
      </c>
      <c r="E29" s="940">
        <v>0</v>
      </c>
      <c r="F29" s="940">
        <v>0</v>
      </c>
      <c r="G29" s="940">
        <v>0</v>
      </c>
      <c r="H29" s="940">
        <v>0</v>
      </c>
      <c r="I29" s="940">
        <v>0</v>
      </c>
      <c r="J29" s="940">
        <v>0</v>
      </c>
      <c r="K29" s="940">
        <v>0</v>
      </c>
      <c r="L29" s="940">
        <v>0</v>
      </c>
      <c r="M29" s="940">
        <v>0</v>
      </c>
      <c r="N29" s="940">
        <v>0</v>
      </c>
      <c r="O29" s="940">
        <v>0</v>
      </c>
      <c r="P29" s="940">
        <v>0</v>
      </c>
      <c r="Q29" s="940">
        <v>0</v>
      </c>
      <c r="R29" s="940">
        <v>0</v>
      </c>
      <c r="S29" s="940">
        <v>0</v>
      </c>
      <c r="T29" s="940">
        <v>0</v>
      </c>
      <c r="U29" s="940">
        <v>0</v>
      </c>
      <c r="V29" s="940">
        <v>0</v>
      </c>
      <c r="W29" s="940">
        <v>0</v>
      </c>
      <c r="X29" s="941">
        <v>0</v>
      </c>
      <c r="Y29" s="23"/>
      <c r="Z29" s="23"/>
      <c r="AA29" s="23"/>
      <c r="AB29" s="23"/>
    </row>
    <row r="30" spans="1:28" ht="12.75">
      <c r="A30" s="949" t="s">
        <v>328</v>
      </c>
      <c r="B30" s="241"/>
      <c r="C30" s="241"/>
      <c r="D30" s="586">
        <f>SUM(D24:D29)</f>
        <v>113095.27542958078</v>
      </c>
      <c r="E30" s="586">
        <f t="shared" ref="E30:X30" si="3">SUM(E24:E29)</f>
        <v>112374.67567297642</v>
      </c>
      <c r="F30" s="586">
        <f t="shared" si="3"/>
        <v>109590.17271098879</v>
      </c>
      <c r="G30" s="586">
        <f t="shared" si="3"/>
        <v>103832.20009677261</v>
      </c>
      <c r="H30" s="586">
        <f t="shared" si="3"/>
        <v>105415.59014468329</v>
      </c>
      <c r="I30" s="586">
        <f t="shared" si="3"/>
        <v>107879.03691469533</v>
      </c>
      <c r="J30" s="586">
        <f t="shared" si="3"/>
        <v>104216.29228611932</v>
      </c>
      <c r="K30" s="586">
        <f t="shared" si="3"/>
        <v>102155.30276637465</v>
      </c>
      <c r="L30" s="586">
        <f t="shared" si="3"/>
        <v>96645.675996116159</v>
      </c>
      <c r="M30" s="586">
        <f t="shared" si="3"/>
        <v>79687.739540282637</v>
      </c>
      <c r="N30" s="586">
        <f t="shared" si="3"/>
        <v>80624.507618866526</v>
      </c>
      <c r="O30" s="586">
        <f t="shared" si="3"/>
        <v>81782.329420279508</v>
      </c>
      <c r="P30" s="586">
        <f t="shared" si="3"/>
        <v>82130.760467237531</v>
      </c>
      <c r="Q30" s="586">
        <f t="shared" si="3"/>
        <v>80610.944694605962</v>
      </c>
      <c r="R30" s="586">
        <f t="shared" si="3"/>
        <v>81059.890831919533</v>
      </c>
      <c r="S30" s="586">
        <f t="shared" si="3"/>
        <v>79878.028028691682</v>
      </c>
      <c r="T30" s="586">
        <f t="shared" si="3"/>
        <v>60423.358131492489</v>
      </c>
      <c r="U30" s="586">
        <f t="shared" si="3"/>
        <v>53095.717430625722</v>
      </c>
      <c r="V30" s="586">
        <f t="shared" si="3"/>
        <v>43921.731357357101</v>
      </c>
      <c r="W30" s="586">
        <f t="shared" si="3"/>
        <v>11397.430633726406</v>
      </c>
      <c r="X30" s="587">
        <f t="shared" si="3"/>
        <v>12065.490145291153</v>
      </c>
      <c r="Y30" s="23"/>
      <c r="Z30" s="23"/>
      <c r="AA30" s="23"/>
      <c r="AB30" s="23"/>
    </row>
    <row r="31" spans="1:28" ht="12.75">
      <c r="A31" s="942"/>
      <c r="B31" s="241"/>
      <c r="C31" s="241"/>
      <c r="D31" s="241"/>
      <c r="E31" s="241"/>
      <c r="F31" s="241"/>
      <c r="G31" s="241"/>
      <c r="H31" s="241"/>
      <c r="I31" s="241"/>
      <c r="J31" s="241"/>
      <c r="K31" s="241"/>
      <c r="L31" s="241"/>
      <c r="M31" s="241"/>
      <c r="N31" s="241"/>
      <c r="O31" s="241"/>
      <c r="P31" s="241"/>
      <c r="Q31" s="241"/>
      <c r="R31" s="241"/>
      <c r="S31" s="241"/>
      <c r="T31" s="241"/>
      <c r="U31" s="241"/>
      <c r="V31" s="241"/>
      <c r="W31" s="241"/>
      <c r="X31" s="807"/>
      <c r="Y31" s="23"/>
      <c r="Z31" s="23"/>
      <c r="AA31" s="23"/>
      <c r="AB31" s="23"/>
    </row>
    <row r="32" spans="1:28" ht="12.75">
      <c r="A32" s="937" t="s">
        <v>329</v>
      </c>
      <c r="B32" s="241"/>
      <c r="C32" s="241"/>
      <c r="D32" s="241"/>
      <c r="E32" s="241"/>
      <c r="F32" s="241"/>
      <c r="G32" s="241"/>
      <c r="H32" s="241"/>
      <c r="I32" s="241"/>
      <c r="J32" s="241"/>
      <c r="K32" s="241"/>
      <c r="L32" s="241"/>
      <c r="M32" s="241"/>
      <c r="N32" s="241"/>
      <c r="O32" s="241"/>
      <c r="P32" s="241"/>
      <c r="Q32" s="241"/>
      <c r="R32" s="241"/>
      <c r="S32" s="241"/>
      <c r="T32" s="241"/>
      <c r="U32" s="241"/>
      <c r="V32" s="241"/>
      <c r="W32" s="241"/>
      <c r="X32" s="807"/>
      <c r="Y32" s="23"/>
      <c r="Z32" s="23"/>
      <c r="AA32" s="23"/>
      <c r="AB32" s="23"/>
    </row>
    <row r="33" spans="1:28" ht="12.75">
      <c r="A33" s="678"/>
      <c r="B33" s="179" t="s">
        <v>436</v>
      </c>
      <c r="C33" s="241"/>
      <c r="D33" s="586">
        <f>'Project Assumptions'!$C$8</f>
        <v>37076.97100000002</v>
      </c>
      <c r="E33" s="586">
        <f>'Project Assumptions'!$C$8</f>
        <v>37076.97100000002</v>
      </c>
      <c r="F33" s="586">
        <f>'Project Assumptions'!$C$8</f>
        <v>37076.97100000002</v>
      </c>
      <c r="G33" s="586">
        <f>'Project Assumptions'!$C$8</f>
        <v>37076.97100000002</v>
      </c>
      <c r="H33" s="586">
        <f>'Project Assumptions'!$C$8</f>
        <v>37076.97100000002</v>
      </c>
      <c r="I33" s="586">
        <f>'Project Assumptions'!$C$8</f>
        <v>37076.97100000002</v>
      </c>
      <c r="J33" s="586">
        <f>'Project Assumptions'!$C$8</f>
        <v>37076.97100000002</v>
      </c>
      <c r="K33" s="586">
        <f>'Project Assumptions'!$C$8</f>
        <v>37076.97100000002</v>
      </c>
      <c r="L33" s="586">
        <f>'Project Assumptions'!$C$8</f>
        <v>37076.97100000002</v>
      </c>
      <c r="M33" s="586">
        <f>'Project Assumptions'!$C$8</f>
        <v>37076.97100000002</v>
      </c>
      <c r="N33" s="586">
        <f>'Project Assumptions'!$C$8</f>
        <v>37076.97100000002</v>
      </c>
      <c r="O33" s="586">
        <f>'Project Assumptions'!$C$8</f>
        <v>37076.97100000002</v>
      </c>
      <c r="P33" s="586">
        <f>'Project Assumptions'!$C$8</f>
        <v>37076.97100000002</v>
      </c>
      <c r="Q33" s="586">
        <f>'Project Assumptions'!$C$8</f>
        <v>37076.97100000002</v>
      </c>
      <c r="R33" s="586">
        <f>'Project Assumptions'!$C$8</f>
        <v>37076.97100000002</v>
      </c>
      <c r="S33" s="586">
        <f>'Project Assumptions'!$C$8</f>
        <v>37076.97100000002</v>
      </c>
      <c r="T33" s="586">
        <f>'Project Assumptions'!$C$8</f>
        <v>37076.97100000002</v>
      </c>
      <c r="U33" s="586">
        <f>'Project Assumptions'!$C$8</f>
        <v>37076.97100000002</v>
      </c>
      <c r="V33" s="586">
        <f>'Project Assumptions'!$C$8</f>
        <v>37076.97100000002</v>
      </c>
      <c r="W33" s="586">
        <f>'Project Assumptions'!$C$8</f>
        <v>37076.97100000002</v>
      </c>
      <c r="X33" s="587">
        <f>'Project Assumptions'!$C$8</f>
        <v>37076.97100000002</v>
      </c>
      <c r="Y33" s="23"/>
      <c r="Z33" s="23"/>
      <c r="AA33" s="23"/>
      <c r="AB33" s="23"/>
    </row>
    <row r="34" spans="1:28" ht="12.75">
      <c r="A34" s="678"/>
      <c r="B34" s="179" t="s">
        <v>437</v>
      </c>
      <c r="C34" s="241"/>
      <c r="D34" s="950">
        <f>'Book Income Statement'!D72-'Cash Flow Statement'!D37</f>
        <v>3789.1444370858871</v>
      </c>
      <c r="E34" s="950">
        <f>'Book Income Statement'!E72-'Cash Flow Statement'!E37+D34</f>
        <v>3697.5382736902397</v>
      </c>
      <c r="F34" s="950">
        <f>'Book Income Statement'!F72-'Cash Flow Statement'!F37+E34</f>
        <v>2659.028067677888</v>
      </c>
      <c r="G34" s="950">
        <f>'Book Income Statement'!G72-'Cash Flow Statement'!G37+F34</f>
        <v>3212.0368949940571</v>
      </c>
      <c r="H34" s="950">
        <f>'Book Income Statement'!H72-'Cash Flow Statement'!H37+G34</f>
        <v>-2107.1909457598244</v>
      </c>
      <c r="I34" s="950">
        <f>'Book Income Statement'!I72-'Cash Flow Statement'!I37+H34</f>
        <v>-8009.2422128003709</v>
      </c>
      <c r="J34" s="950">
        <f>'Book Income Statement'!J72-'Cash Flow Statement'!J37+I34</f>
        <v>-8942.8525351916051</v>
      </c>
      <c r="K34" s="950">
        <f>'Book Income Statement'!K72-'Cash Flow Statement'!K37+J34</f>
        <v>-9872.8643263064514</v>
      </c>
      <c r="L34" s="950">
        <f>'Book Income Statement'!L72-'Cash Flow Statement'!L37+K34</f>
        <v>-7304.4555406332966</v>
      </c>
      <c r="M34" s="950">
        <f>'Book Income Statement'!M72-'Cash Flow Statement'!M37+L34</f>
        <v>-2357.5173317481422</v>
      </c>
      <c r="N34" s="950">
        <f>'Book Income Statement'!N72-'Cash Flow Statement'!N37+M34</f>
        <v>-6131.4114380105984</v>
      </c>
      <c r="O34" s="950">
        <f>'Book Income Statement'!O72-'Cash Flow Statement'!O37+N34</f>
        <v>-10071.959682332505</v>
      </c>
      <c r="P34" s="950">
        <f>'Book Income Statement'!P72-'Cash Flow Statement'!P37+O34</f>
        <v>-13147.085599886728</v>
      </c>
      <c r="Q34" s="950">
        <f>'Book Income Statement'!Q72-'Cash Flow Statement'!Q37+P34</f>
        <v>-16211.190770035795</v>
      </c>
      <c r="R34" s="950">
        <f>'Book Income Statement'!R72-'Cash Flow Statement'!R37+Q34</f>
        <v>-19269.675363396866</v>
      </c>
      <c r="S34" s="950">
        <f>'Book Income Statement'!S72-'Cash Flow Statement'!S37+R34</f>
        <v>-20636.123804297935</v>
      </c>
      <c r="T34" s="950">
        <f>'Book Income Statement'!T72-'Cash Flow Statement'!T37+S34</f>
        <v>-17054.766944352694</v>
      </c>
      <c r="U34" s="950">
        <f>'Book Income Statement'!U72-'Cash Flow Statement'!U37+T34</f>
        <v>-12147.417510214298</v>
      </c>
      <c r="V34" s="950">
        <f>'Book Income Statement'!V72-'Cash Flow Statement'!V37+U34</f>
        <v>-5326.8180760758987</v>
      </c>
      <c r="W34" s="950">
        <f>'Book Income Statement'!W72-'Cash Flow Statement'!W37+V34</f>
        <v>2669.4334129035597</v>
      </c>
      <c r="X34" s="951">
        <f>'Book Income Statement'!X72-'Cash Flow Statement'!X37+W34</f>
        <v>-186.22601861310977</v>
      </c>
      <c r="Y34" s="23"/>
      <c r="Z34" s="23"/>
      <c r="AA34" s="23"/>
      <c r="AB34" s="23"/>
    </row>
    <row r="35" spans="1:28" ht="12.75">
      <c r="A35" s="678"/>
      <c r="B35" s="179" t="s">
        <v>438</v>
      </c>
      <c r="C35" s="241"/>
      <c r="D35" s="943">
        <f t="shared" ref="D35:X35" si="4">SUM(D33:D34)</f>
        <v>40866.115437085908</v>
      </c>
      <c r="E35" s="943">
        <f t="shared" si="4"/>
        <v>40774.509273690259</v>
      </c>
      <c r="F35" s="943">
        <f t="shared" si="4"/>
        <v>39735.999067677905</v>
      </c>
      <c r="G35" s="943">
        <f t="shared" si="4"/>
        <v>40289.00789499408</v>
      </c>
      <c r="H35" s="943">
        <f t="shared" si="4"/>
        <v>34969.780054240196</v>
      </c>
      <c r="I35" s="943">
        <f t="shared" si="4"/>
        <v>29067.728787199649</v>
      </c>
      <c r="J35" s="943">
        <f t="shared" si="4"/>
        <v>28134.118464808416</v>
      </c>
      <c r="K35" s="943">
        <f t="shared" si="4"/>
        <v>27204.106673693568</v>
      </c>
      <c r="L35" s="943">
        <f t="shared" si="4"/>
        <v>29772.515459366725</v>
      </c>
      <c r="M35" s="943">
        <f t="shared" si="4"/>
        <v>34719.453668251881</v>
      </c>
      <c r="N35" s="943">
        <f t="shared" si="4"/>
        <v>30945.559561989423</v>
      </c>
      <c r="O35" s="943">
        <f t="shared" si="4"/>
        <v>27005.011317667515</v>
      </c>
      <c r="P35" s="943">
        <f t="shared" si="4"/>
        <v>23929.885400113293</v>
      </c>
      <c r="Q35" s="943">
        <f t="shared" si="4"/>
        <v>20865.780229964224</v>
      </c>
      <c r="R35" s="943">
        <f t="shared" si="4"/>
        <v>17807.295636603154</v>
      </c>
      <c r="S35" s="943">
        <f t="shared" si="4"/>
        <v>16440.847195702085</v>
      </c>
      <c r="T35" s="943">
        <f t="shared" si="4"/>
        <v>20022.204055647326</v>
      </c>
      <c r="U35" s="943">
        <f t="shared" si="4"/>
        <v>24929.553489785721</v>
      </c>
      <c r="V35" s="943">
        <f t="shared" si="4"/>
        <v>31750.152923924121</v>
      </c>
      <c r="W35" s="943">
        <f t="shared" si="4"/>
        <v>39746.404412903576</v>
      </c>
      <c r="X35" s="944">
        <f t="shared" si="4"/>
        <v>36890.74498138691</v>
      </c>
      <c r="Y35" s="23"/>
      <c r="Z35" s="23"/>
      <c r="AA35" s="23"/>
      <c r="AB35" s="23"/>
    </row>
    <row r="36" spans="1:28" ht="12.75">
      <c r="A36" s="949" t="s">
        <v>332</v>
      </c>
      <c r="B36" s="241"/>
      <c r="C36" s="241"/>
      <c r="D36" s="586">
        <f t="shared" ref="D36:X36" si="5">D30+D35</f>
        <v>153961.39086666668</v>
      </c>
      <c r="E36" s="586">
        <f t="shared" si="5"/>
        <v>153149.18494666668</v>
      </c>
      <c r="F36" s="586">
        <f t="shared" si="5"/>
        <v>149326.1717786667</v>
      </c>
      <c r="G36" s="586">
        <f t="shared" si="5"/>
        <v>144121.20799176669</v>
      </c>
      <c r="H36" s="586">
        <f t="shared" si="5"/>
        <v>140385.37019892348</v>
      </c>
      <c r="I36" s="586">
        <f t="shared" si="5"/>
        <v>136946.76570189497</v>
      </c>
      <c r="J36" s="586">
        <f t="shared" si="5"/>
        <v>132350.41075092775</v>
      </c>
      <c r="K36" s="586">
        <f t="shared" si="5"/>
        <v>129359.40944006821</v>
      </c>
      <c r="L36" s="586">
        <f t="shared" si="5"/>
        <v>126418.19145548288</v>
      </c>
      <c r="M36" s="586">
        <f t="shared" si="5"/>
        <v>114407.19320853452</v>
      </c>
      <c r="N36" s="586">
        <f t="shared" si="5"/>
        <v>111570.06718085596</v>
      </c>
      <c r="O36" s="586">
        <f t="shared" si="5"/>
        <v>108787.34073794703</v>
      </c>
      <c r="P36" s="586">
        <f t="shared" si="5"/>
        <v>106060.64586735083</v>
      </c>
      <c r="Q36" s="586">
        <f t="shared" si="5"/>
        <v>101476.72492457018</v>
      </c>
      <c r="R36" s="586">
        <f t="shared" si="5"/>
        <v>98867.18646852269</v>
      </c>
      <c r="S36" s="586">
        <f t="shared" si="5"/>
        <v>96318.875224393763</v>
      </c>
      <c r="T36" s="586">
        <f t="shared" si="5"/>
        <v>80445.562187139818</v>
      </c>
      <c r="U36" s="586">
        <f t="shared" si="5"/>
        <v>78025.270920411451</v>
      </c>
      <c r="V36" s="586">
        <f t="shared" si="5"/>
        <v>75671.884281281222</v>
      </c>
      <c r="W36" s="586">
        <f t="shared" si="5"/>
        <v>51143.835046629982</v>
      </c>
      <c r="X36" s="587">
        <f t="shared" si="5"/>
        <v>48956.235126678061</v>
      </c>
      <c r="Y36" s="23"/>
      <c r="Z36" s="23"/>
      <c r="AA36" s="23"/>
      <c r="AB36" s="23"/>
    </row>
    <row r="37" spans="1:28" ht="12.75">
      <c r="A37" s="952"/>
      <c r="B37" s="632"/>
      <c r="C37" s="632"/>
      <c r="D37" s="632"/>
      <c r="E37" s="632"/>
      <c r="F37" s="632"/>
      <c r="G37" s="632"/>
      <c r="H37" s="632"/>
      <c r="I37" s="632"/>
      <c r="J37" s="632"/>
      <c r="K37" s="632"/>
      <c r="L37" s="632"/>
      <c r="M37" s="632"/>
      <c r="N37" s="632"/>
      <c r="O37" s="632"/>
      <c r="P37" s="632"/>
      <c r="Q37" s="632"/>
      <c r="R37" s="632"/>
      <c r="S37" s="632"/>
      <c r="T37" s="632"/>
      <c r="U37" s="632"/>
      <c r="V37" s="632"/>
      <c r="W37" s="632"/>
      <c r="X37" s="633"/>
      <c r="Y37" s="23"/>
      <c r="Z37" s="23"/>
      <c r="AA37" s="23"/>
      <c r="AB37" s="23"/>
    </row>
    <row r="38" spans="1:28" ht="12.75">
      <c r="A38" s="181" t="s">
        <v>333</v>
      </c>
      <c r="B38" s="182"/>
      <c r="C38" s="182"/>
      <c r="D38" s="183">
        <f t="shared" ref="D38:X38" si="6">IF(D3&gt;ProjectLife,0,D21-D36)</f>
        <v>0</v>
      </c>
      <c r="E38" s="183">
        <f t="shared" si="6"/>
        <v>0</v>
      </c>
      <c r="F38" s="183">
        <f t="shared" si="6"/>
        <v>0</v>
      </c>
      <c r="G38" s="183">
        <f t="shared" si="6"/>
        <v>0</v>
      </c>
      <c r="H38" s="183">
        <f t="shared" si="6"/>
        <v>0</v>
      </c>
      <c r="I38" s="183">
        <f t="shared" si="6"/>
        <v>2.9103830456733704E-11</v>
      </c>
      <c r="J38" s="183">
        <f t="shared" si="6"/>
        <v>0</v>
      </c>
      <c r="K38" s="183">
        <f t="shared" si="6"/>
        <v>1.4551915228366852E-11</v>
      </c>
      <c r="L38" s="183">
        <f t="shared" si="6"/>
        <v>1.4551915228366852E-11</v>
      </c>
      <c r="M38" s="183">
        <f t="shared" si="6"/>
        <v>0</v>
      </c>
      <c r="N38" s="183">
        <f t="shared" si="6"/>
        <v>0</v>
      </c>
      <c r="O38" s="183">
        <f t="shared" si="6"/>
        <v>1.4551915228366852E-11</v>
      </c>
      <c r="P38" s="183">
        <f t="shared" si="6"/>
        <v>1.4551915228366852E-11</v>
      </c>
      <c r="Q38" s="183">
        <f t="shared" si="6"/>
        <v>1.4551915228366852E-11</v>
      </c>
      <c r="R38" s="183">
        <f t="shared" si="6"/>
        <v>1.4551915228366852E-11</v>
      </c>
      <c r="S38" s="183">
        <f t="shared" si="6"/>
        <v>2.9103830456733704E-11</v>
      </c>
      <c r="T38" s="183">
        <f t="shared" si="6"/>
        <v>2.9103830456733704E-11</v>
      </c>
      <c r="U38" s="183">
        <f t="shared" si="6"/>
        <v>4.3655745685100555E-11</v>
      </c>
      <c r="V38" s="183">
        <f t="shared" si="6"/>
        <v>4.3655745685100555E-11</v>
      </c>
      <c r="W38" s="183">
        <f t="shared" si="6"/>
        <v>6.5483618527650833E-11</v>
      </c>
      <c r="X38" s="183">
        <f t="shared" si="6"/>
        <v>0</v>
      </c>
      <c r="Y38" s="23"/>
      <c r="Z38" s="23"/>
      <c r="AA38" s="23"/>
      <c r="AB38" s="23"/>
    </row>
    <row r="39" spans="1:28" hidden="1" outlineLevel="1">
      <c r="A39" s="174" t="s">
        <v>330</v>
      </c>
      <c r="B39" s="174"/>
      <c r="C39" s="174"/>
      <c r="D39" s="174"/>
      <c r="E39" s="174"/>
      <c r="F39" s="174"/>
      <c r="G39" s="174"/>
      <c r="H39" s="174"/>
      <c r="I39" s="174"/>
      <c r="J39" s="174"/>
      <c r="K39" s="174"/>
      <c r="L39" s="174"/>
      <c r="M39" s="174"/>
      <c r="N39" s="174"/>
      <c r="O39" s="174"/>
      <c r="P39" s="174"/>
      <c r="Q39" s="174"/>
      <c r="R39" s="174"/>
      <c r="S39" s="174"/>
      <c r="T39" s="174"/>
      <c r="U39" s="174"/>
      <c r="V39" s="174"/>
      <c r="W39" s="23"/>
      <c r="X39" s="23"/>
      <c r="Y39" s="23"/>
      <c r="Z39" s="23"/>
      <c r="AA39" s="23"/>
      <c r="AB39" s="23"/>
    </row>
    <row r="40" spans="1:28" ht="12.75" collapsed="1">
      <c r="A40"/>
      <c r="B40"/>
      <c r="C40"/>
      <c r="D40"/>
      <c r="E40"/>
      <c r="F40"/>
      <c r="G40"/>
      <c r="H40"/>
      <c r="I40"/>
      <c r="J40"/>
      <c r="K40"/>
      <c r="L40"/>
      <c r="M40"/>
      <c r="N40"/>
      <c r="O40"/>
      <c r="P40"/>
      <c r="Q40"/>
      <c r="R40"/>
      <c r="S40"/>
      <c r="T40"/>
      <c r="U40"/>
      <c r="V40"/>
      <c r="W40"/>
      <c r="X40"/>
      <c r="Y40"/>
      <c r="Z40"/>
      <c r="AA40"/>
      <c r="AB40"/>
    </row>
    <row r="41" spans="1:28" ht="12.75">
      <c r="A41"/>
      <c r="B41"/>
      <c r="C41"/>
      <c r="D41"/>
      <c r="E41"/>
      <c r="F41"/>
      <c r="G41"/>
      <c r="H41"/>
      <c r="I41"/>
      <c r="J41"/>
      <c r="K41"/>
      <c r="L41"/>
      <c r="M41"/>
      <c r="N41"/>
      <c r="O41"/>
      <c r="P41"/>
      <c r="Q41"/>
      <c r="R41"/>
      <c r="S41"/>
      <c r="T41"/>
      <c r="U41"/>
      <c r="V41"/>
      <c r="W41"/>
      <c r="X41"/>
      <c r="Y41"/>
      <c r="Z41"/>
      <c r="AA41"/>
      <c r="AB41"/>
    </row>
    <row r="42" spans="1:28" ht="12.75">
      <c r="A42"/>
      <c r="B42"/>
      <c r="C42"/>
      <c r="D42"/>
      <c r="E42"/>
      <c r="F42"/>
      <c r="G42"/>
      <c r="H42"/>
      <c r="I42"/>
      <c r="J42"/>
      <c r="K42"/>
      <c r="L42"/>
      <c r="M42"/>
      <c r="N42"/>
      <c r="O42"/>
      <c r="P42"/>
      <c r="Q42"/>
      <c r="R42"/>
      <c r="S42"/>
      <c r="T42"/>
      <c r="U42"/>
      <c r="V42"/>
      <c r="W42"/>
      <c r="X42"/>
      <c r="Y42"/>
      <c r="Z42"/>
      <c r="AA42"/>
      <c r="AB42"/>
    </row>
    <row r="43" spans="1:28" ht="12.75">
      <c r="A43" s="601" t="s">
        <v>511</v>
      </c>
      <c r="B43" s="602"/>
      <c r="C43" s="602"/>
      <c r="D43" s="603" t="s">
        <v>513</v>
      </c>
      <c r="E43" s="602"/>
      <c r="F43" s="602"/>
      <c r="G43" s="602"/>
      <c r="H43" s="602"/>
      <c r="I43" s="602"/>
      <c r="J43" s="602"/>
      <c r="K43" s="602"/>
      <c r="L43" s="602"/>
      <c r="M43" s="602"/>
      <c r="N43" s="602"/>
      <c r="O43" s="602"/>
      <c r="P43" s="602"/>
      <c r="Q43" s="602"/>
      <c r="R43" s="602"/>
      <c r="S43" s="602"/>
      <c r="T43" s="602"/>
      <c r="U43" s="602"/>
      <c r="V43" s="602"/>
      <c r="W43" s="602"/>
      <c r="X43" s="604"/>
      <c r="Y43"/>
      <c r="Z43"/>
      <c r="AA43"/>
      <c r="AB43"/>
    </row>
    <row r="44" spans="1:28" ht="12.75">
      <c r="A44" s="605">
        <f>(SUM(D28:X28)-SUM(D45:X45))+(SUM(D35:X35)-SUM(D46:X46))</f>
        <v>0</v>
      </c>
      <c r="B44" s="606"/>
      <c r="C44" s="606"/>
      <c r="D44" s="606"/>
      <c r="E44" s="606"/>
      <c r="F44" s="606"/>
      <c r="G44" s="606"/>
      <c r="H44" s="606"/>
      <c r="I44" s="606"/>
      <c r="J44" s="606"/>
      <c r="K44" s="606"/>
      <c r="L44" s="606"/>
      <c r="M44" s="606"/>
      <c r="N44" s="606"/>
      <c r="O44" s="606"/>
      <c r="P44" s="606"/>
      <c r="Q44" s="606"/>
      <c r="R44" s="606"/>
      <c r="S44" s="606"/>
      <c r="T44" s="606"/>
      <c r="U44" s="606"/>
      <c r="V44" s="606"/>
      <c r="W44" s="606"/>
      <c r="X44" s="607"/>
      <c r="Y44"/>
      <c r="Z44"/>
      <c r="AA44"/>
      <c r="AB44"/>
    </row>
    <row r="45" spans="1:28" ht="12.75">
      <c r="A45" s="608"/>
      <c r="B45" s="606" t="s">
        <v>326</v>
      </c>
      <c r="C45" s="606"/>
      <c r="D45" s="609">
        <v>112941</v>
      </c>
      <c r="E45" s="609">
        <v>108195</v>
      </c>
      <c r="F45" s="609">
        <v>101702.6</v>
      </c>
      <c r="G45" s="609">
        <v>93463.8</v>
      </c>
      <c r="H45" s="609">
        <v>88695.5</v>
      </c>
      <c r="I45" s="609">
        <v>83927.2</v>
      </c>
      <c r="J45" s="609">
        <v>78521.149999999994</v>
      </c>
      <c r="K45" s="609">
        <v>73115.100000000006</v>
      </c>
      <c r="L45" s="609">
        <v>64216.25</v>
      </c>
      <c r="M45" s="609">
        <v>52933.25</v>
      </c>
      <c r="N45" s="609">
        <v>50382.25</v>
      </c>
      <c r="O45" s="609">
        <v>47193.5</v>
      </c>
      <c r="P45" s="609">
        <v>44004.75</v>
      </c>
      <c r="Q45" s="609">
        <v>40816</v>
      </c>
      <c r="R45" s="609">
        <v>37627.25</v>
      </c>
      <c r="S45" s="609">
        <v>34438.5</v>
      </c>
      <c r="T45" s="609">
        <v>28061</v>
      </c>
      <c r="U45" s="609">
        <v>20408</v>
      </c>
      <c r="V45" s="609">
        <v>10841.75</v>
      </c>
      <c r="W45" s="609">
        <v>0</v>
      </c>
      <c r="X45" s="610">
        <v>0</v>
      </c>
      <c r="Y45"/>
      <c r="Z45"/>
      <c r="AA45"/>
      <c r="AB45"/>
    </row>
    <row r="46" spans="1:28" ht="12.75">
      <c r="A46" s="611"/>
      <c r="B46" s="612" t="s">
        <v>512</v>
      </c>
      <c r="C46" s="612"/>
      <c r="D46" s="613">
        <v>40866.115437085908</v>
      </c>
      <c r="E46" s="613">
        <v>40774.509273690259</v>
      </c>
      <c r="F46" s="613">
        <v>39735.999067677905</v>
      </c>
      <c r="G46" s="613">
        <v>40289.00789499408</v>
      </c>
      <c r="H46" s="613">
        <v>34969.780054240196</v>
      </c>
      <c r="I46" s="613">
        <v>29067.728787199649</v>
      </c>
      <c r="J46" s="613">
        <v>28134.118464808416</v>
      </c>
      <c r="K46" s="613">
        <v>27204.106673693568</v>
      </c>
      <c r="L46" s="613">
        <v>29772.515459366725</v>
      </c>
      <c r="M46" s="613">
        <v>34719.453668251881</v>
      </c>
      <c r="N46" s="613">
        <v>30945.559561989423</v>
      </c>
      <c r="O46" s="613">
        <v>27005.011317667515</v>
      </c>
      <c r="P46" s="613">
        <v>23929.885400113293</v>
      </c>
      <c r="Q46" s="613">
        <v>20865.780229964224</v>
      </c>
      <c r="R46" s="613">
        <v>17807.295636603154</v>
      </c>
      <c r="S46" s="613">
        <v>16440.847195702085</v>
      </c>
      <c r="T46" s="613">
        <v>20022.204055647326</v>
      </c>
      <c r="U46" s="613">
        <v>24929.553489785721</v>
      </c>
      <c r="V46" s="613">
        <v>31750.152923924121</v>
      </c>
      <c r="W46" s="613">
        <v>39746.404412903576</v>
      </c>
      <c r="X46" s="614">
        <v>36890.74498138691</v>
      </c>
      <c r="Y46"/>
      <c r="Z46"/>
      <c r="AA46"/>
      <c r="AB46"/>
    </row>
    <row r="47" spans="1:28">
      <c r="A47" s="174"/>
      <c r="B47" s="174"/>
      <c r="C47" s="174"/>
      <c r="D47" s="174"/>
      <c r="E47" s="174"/>
      <c r="F47" s="174"/>
      <c r="G47" s="174"/>
      <c r="H47" s="174"/>
      <c r="I47" s="174"/>
      <c r="J47" s="174"/>
      <c r="K47" s="174"/>
      <c r="L47" s="174"/>
      <c r="M47" s="174"/>
      <c r="N47" s="174"/>
      <c r="O47" s="174"/>
      <c r="P47" s="174"/>
      <c r="Q47" s="174"/>
      <c r="R47" s="174"/>
      <c r="S47" s="174"/>
      <c r="T47" s="174"/>
      <c r="U47" s="174"/>
      <c r="V47" s="174"/>
      <c r="W47" s="23"/>
      <c r="X47" s="23"/>
      <c r="Y47" s="23"/>
      <c r="Z47" s="23"/>
      <c r="AA47" s="23"/>
      <c r="AB47" s="23"/>
    </row>
    <row r="48" spans="1:28">
      <c r="A48" s="174"/>
      <c r="B48" s="174"/>
      <c r="C48" s="174">
        <f>SUM(Loan_Copy)-SUM(Loan_Paste)</f>
        <v>0</v>
      </c>
      <c r="D48" s="174"/>
      <c r="E48" s="174"/>
      <c r="F48" s="174"/>
      <c r="G48" s="174"/>
      <c r="H48" s="174"/>
      <c r="I48" s="174"/>
      <c r="J48" s="174"/>
      <c r="K48" s="174"/>
      <c r="L48" s="174"/>
      <c r="M48" s="174"/>
      <c r="N48" s="174"/>
      <c r="O48" s="174"/>
      <c r="P48" s="174"/>
      <c r="Q48" s="174"/>
      <c r="R48" s="174"/>
      <c r="S48" s="174"/>
      <c r="T48" s="174"/>
      <c r="U48" s="174"/>
      <c r="V48" s="174"/>
      <c r="W48" s="23"/>
      <c r="X48" s="23"/>
      <c r="Y48" s="23"/>
      <c r="Z48" s="23"/>
      <c r="AA48" s="23"/>
      <c r="AB48" s="23"/>
    </row>
    <row r="49" spans="1:28">
      <c r="A49" s="174"/>
      <c r="B49" s="174"/>
      <c r="C49" s="174">
        <f>SUM(Equity_Copy)-SUM(Equity_Paste)</f>
        <v>0</v>
      </c>
      <c r="D49" s="174"/>
      <c r="E49" s="174"/>
      <c r="F49" s="174"/>
      <c r="G49" s="174"/>
      <c r="H49" s="174"/>
      <c r="I49" s="174"/>
      <c r="J49" s="174"/>
      <c r="K49" s="174"/>
      <c r="L49" s="174"/>
      <c r="M49" s="174"/>
      <c r="N49" s="174"/>
      <c r="O49" s="174"/>
      <c r="P49" s="174"/>
      <c r="Q49" s="174"/>
      <c r="R49" s="174"/>
      <c r="S49" s="174"/>
      <c r="T49" s="174"/>
      <c r="U49" s="174"/>
      <c r="V49" s="174"/>
      <c r="W49" s="23"/>
      <c r="X49" s="23"/>
      <c r="Y49" s="23"/>
      <c r="Z49" s="23"/>
      <c r="AA49" s="23"/>
      <c r="AB49" s="23"/>
    </row>
    <row r="50" spans="1:28">
      <c r="A50" s="174"/>
      <c r="B50" s="174"/>
      <c r="C50" s="174"/>
      <c r="D50" s="174"/>
      <c r="E50" s="174"/>
      <c r="F50" s="174"/>
      <c r="G50" s="174"/>
      <c r="H50" s="174"/>
      <c r="I50" s="174"/>
      <c r="J50" s="174"/>
      <c r="K50" s="174"/>
      <c r="L50" s="174"/>
      <c r="M50" s="174"/>
      <c r="N50" s="174"/>
      <c r="O50" s="174"/>
      <c r="P50" s="174"/>
      <c r="Q50" s="174"/>
      <c r="R50" s="174"/>
      <c r="S50" s="174"/>
      <c r="T50" s="174"/>
      <c r="U50" s="174"/>
      <c r="V50" s="174"/>
      <c r="W50" s="23"/>
      <c r="X50" s="23"/>
      <c r="Y50" s="23"/>
      <c r="Z50" s="23"/>
      <c r="AA50" s="23"/>
      <c r="AB50" s="23"/>
    </row>
    <row r="51" spans="1:28">
      <c r="A51" s="174"/>
      <c r="B51" s="174"/>
      <c r="C51" s="174"/>
      <c r="D51" s="174"/>
      <c r="E51" s="174"/>
      <c r="F51" s="174"/>
      <c r="G51" s="174"/>
      <c r="H51" s="174"/>
      <c r="I51" s="174"/>
      <c r="J51" s="174"/>
      <c r="K51" s="174"/>
      <c r="L51" s="174"/>
      <c r="M51" s="174"/>
      <c r="N51" s="174"/>
      <c r="O51" s="174"/>
      <c r="P51" s="174"/>
      <c r="Q51" s="174"/>
      <c r="R51" s="174"/>
      <c r="S51" s="174"/>
      <c r="T51" s="174"/>
      <c r="U51" s="174"/>
      <c r="V51" s="174"/>
      <c r="W51" s="23"/>
      <c r="X51" s="23"/>
      <c r="Y51" s="23"/>
      <c r="Z51" s="23"/>
      <c r="AA51" s="23"/>
      <c r="AB51" s="23"/>
    </row>
    <row r="52" spans="1:28">
      <c r="A52" s="174"/>
      <c r="B52" s="174"/>
      <c r="C52" s="174"/>
      <c r="D52" s="174"/>
      <c r="E52" s="174"/>
      <c r="F52" s="174"/>
      <c r="G52" s="174"/>
      <c r="H52" s="174"/>
      <c r="I52" s="174"/>
      <c r="J52" s="174"/>
      <c r="K52" s="174"/>
      <c r="L52" s="174"/>
      <c r="M52" s="174"/>
      <c r="N52" s="174"/>
      <c r="O52" s="174"/>
      <c r="P52" s="174"/>
      <c r="Q52" s="174"/>
      <c r="R52" s="174"/>
      <c r="S52" s="174"/>
      <c r="T52" s="174"/>
      <c r="U52" s="174"/>
      <c r="V52" s="174"/>
      <c r="W52" s="23"/>
      <c r="X52" s="23"/>
      <c r="Y52" s="23"/>
      <c r="Z52" s="23"/>
      <c r="AA52" s="23"/>
      <c r="AB52" s="23"/>
    </row>
    <row r="53" spans="1:28">
      <c r="A53" s="174"/>
      <c r="B53" s="174"/>
      <c r="C53" s="174"/>
      <c r="D53" s="174"/>
      <c r="E53" s="174"/>
      <c r="F53" s="174"/>
      <c r="G53" s="174"/>
      <c r="H53" s="174"/>
      <c r="I53" s="174"/>
      <c r="J53" s="174"/>
      <c r="K53" s="174"/>
      <c r="L53" s="174"/>
      <c r="M53" s="174"/>
      <c r="N53" s="174"/>
      <c r="O53" s="174"/>
      <c r="P53" s="174"/>
      <c r="Q53" s="174"/>
      <c r="R53" s="174"/>
      <c r="S53" s="174"/>
      <c r="T53" s="174"/>
      <c r="U53" s="174"/>
      <c r="V53" s="174"/>
      <c r="W53" s="23"/>
      <c r="X53" s="23"/>
      <c r="Y53" s="23"/>
      <c r="Z53" s="23"/>
      <c r="AA53" s="23"/>
      <c r="AB53" s="23"/>
    </row>
    <row r="54" spans="1:28">
      <c r="A54" s="174"/>
      <c r="B54" s="174"/>
      <c r="C54" s="174"/>
      <c r="D54" s="174"/>
      <c r="E54" s="174"/>
      <c r="F54" s="174"/>
      <c r="G54" s="174"/>
      <c r="H54" s="174"/>
      <c r="I54" s="174"/>
      <c r="J54" s="174"/>
      <c r="K54" s="174"/>
      <c r="L54" s="174"/>
      <c r="M54" s="174"/>
      <c r="N54" s="174"/>
      <c r="O54" s="174"/>
      <c r="P54" s="174"/>
      <c r="Q54" s="174"/>
      <c r="R54" s="174"/>
      <c r="S54" s="174"/>
      <c r="T54" s="174"/>
      <c r="U54" s="174"/>
      <c r="V54" s="174"/>
      <c r="W54" s="23"/>
      <c r="X54" s="23"/>
      <c r="Y54" s="23"/>
      <c r="Z54" s="23"/>
      <c r="AA54" s="23"/>
      <c r="AB54" s="23"/>
    </row>
  </sheetData>
  <pageMargins left="0.75" right="0.75" top="1" bottom="1" header="0.5" footer="0.5"/>
  <pageSetup paperSize="5" scale="75" orientation="landscape" r:id="rId1"/>
  <headerFooter alignWithMargins="0">
    <oddFooter>&amp;L&amp;D
&amp;T&amp;R&amp;F
&amp;A 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V63"/>
  <sheetViews>
    <sheetView workbookViewId="0"/>
  </sheetViews>
  <sheetFormatPr defaultColWidth="9.28515625" defaultRowHeight="11.25"/>
  <cols>
    <col min="1" max="1" width="21.28515625" style="170" customWidth="1"/>
    <col min="2" max="2" width="14" style="170" customWidth="1"/>
    <col min="3" max="3" width="3.42578125" style="170" customWidth="1"/>
    <col min="4" max="30" width="9.28515625" style="170" customWidth="1"/>
    <col min="31" max="16384" width="9.28515625" style="14"/>
  </cols>
  <sheetData>
    <row r="1" spans="1:256" ht="21.75" customHeight="1">
      <c r="A1" s="634" t="str">
        <f>'Project Assumptions'!$A$2</f>
        <v>CALEDONIA, Lowndes County, MS</v>
      </c>
      <c r="B1" s="744"/>
      <c r="C1" s="740"/>
      <c r="D1" s="741"/>
      <c r="AC1" s="188"/>
      <c r="AD1" s="179"/>
    </row>
    <row r="2" spans="1:256" ht="15.6" customHeight="1">
      <c r="A2" s="637" t="s">
        <v>42</v>
      </c>
      <c r="B2" s="742"/>
      <c r="C2" s="742"/>
      <c r="D2" s="745"/>
      <c r="E2" s="184"/>
      <c r="F2" s="184"/>
      <c r="G2" s="184"/>
      <c r="H2" s="184"/>
      <c r="I2" s="184"/>
      <c r="J2" s="184"/>
      <c r="K2" s="188"/>
      <c r="L2" s="184"/>
      <c r="M2" s="184"/>
      <c r="N2" s="184"/>
      <c r="O2" s="184"/>
      <c r="P2" s="184"/>
      <c r="Q2" s="188"/>
      <c r="R2" s="184"/>
      <c r="S2" s="184"/>
      <c r="T2" s="184"/>
      <c r="U2" s="184"/>
      <c r="V2" s="184"/>
      <c r="W2" s="188"/>
      <c r="X2" s="184"/>
      <c r="Y2" s="184"/>
      <c r="Z2" s="184"/>
      <c r="AA2" s="184"/>
      <c r="AB2" s="184"/>
      <c r="AC2" s="188"/>
      <c r="AD2" s="179"/>
    </row>
    <row r="3" spans="1:256" s="1" customFormat="1" ht="12.6" customHeight="1">
      <c r="A3" s="417"/>
      <c r="B3" s="163"/>
      <c r="C3" s="184"/>
      <c r="D3" s="184">
        <v>1</v>
      </c>
      <c r="E3" s="184">
        <f>D3+1</f>
        <v>2</v>
      </c>
      <c r="F3" s="184">
        <f t="shared" ref="F3:AB3" si="0">E3+1</f>
        <v>3</v>
      </c>
      <c r="G3" s="184">
        <f t="shared" si="0"/>
        <v>4</v>
      </c>
      <c r="H3" s="184">
        <f t="shared" si="0"/>
        <v>5</v>
      </c>
      <c r="I3" s="188">
        <f t="shared" si="0"/>
        <v>6</v>
      </c>
      <c r="J3" s="184">
        <f t="shared" si="0"/>
        <v>7</v>
      </c>
      <c r="K3" s="184">
        <f t="shared" si="0"/>
        <v>8</v>
      </c>
      <c r="L3" s="184">
        <f t="shared" si="0"/>
        <v>9</v>
      </c>
      <c r="M3" s="184">
        <f t="shared" si="0"/>
        <v>10</v>
      </c>
      <c r="N3" s="184">
        <f t="shared" si="0"/>
        <v>11</v>
      </c>
      <c r="O3" s="188">
        <f t="shared" si="0"/>
        <v>12</v>
      </c>
      <c r="P3" s="184">
        <f t="shared" si="0"/>
        <v>13</v>
      </c>
      <c r="Q3" s="184">
        <f t="shared" si="0"/>
        <v>14</v>
      </c>
      <c r="R3" s="184">
        <f t="shared" si="0"/>
        <v>15</v>
      </c>
      <c r="S3" s="184">
        <f t="shared" si="0"/>
        <v>16</v>
      </c>
      <c r="T3" s="184">
        <f t="shared" si="0"/>
        <v>17</v>
      </c>
      <c r="U3" s="188">
        <f t="shared" si="0"/>
        <v>18</v>
      </c>
      <c r="V3" s="184">
        <f t="shared" si="0"/>
        <v>19</v>
      </c>
      <c r="W3" s="184">
        <f t="shared" si="0"/>
        <v>20</v>
      </c>
      <c r="X3" s="184">
        <f t="shared" si="0"/>
        <v>21</v>
      </c>
      <c r="Y3" s="184">
        <f t="shared" si="0"/>
        <v>22</v>
      </c>
      <c r="Z3" s="184">
        <f t="shared" si="0"/>
        <v>23</v>
      </c>
      <c r="AA3" s="188">
        <f t="shared" si="0"/>
        <v>24</v>
      </c>
      <c r="AB3" s="184">
        <f t="shared" si="0"/>
        <v>25</v>
      </c>
      <c r="AC3" s="418"/>
      <c r="AD3" s="163"/>
    </row>
    <row r="4" spans="1:256" s="1" customFormat="1" ht="12.6" customHeight="1">
      <c r="A4" s="830"/>
      <c r="B4" s="642"/>
      <c r="C4" s="831"/>
      <c r="D4" s="759">
        <f>YEAR('Project Assumptions'!I17)</f>
        <v>1999</v>
      </c>
      <c r="E4" s="759">
        <f t="shared" ref="E4:AB4" si="1">D4+1</f>
        <v>2000</v>
      </c>
      <c r="F4" s="759">
        <f t="shared" si="1"/>
        <v>2001</v>
      </c>
      <c r="G4" s="759">
        <f t="shared" si="1"/>
        <v>2002</v>
      </c>
      <c r="H4" s="759">
        <f t="shared" si="1"/>
        <v>2003</v>
      </c>
      <c r="I4" s="759">
        <f t="shared" si="1"/>
        <v>2004</v>
      </c>
      <c r="J4" s="759">
        <f t="shared" si="1"/>
        <v>2005</v>
      </c>
      <c r="K4" s="759">
        <f t="shared" si="1"/>
        <v>2006</v>
      </c>
      <c r="L4" s="759">
        <f t="shared" si="1"/>
        <v>2007</v>
      </c>
      <c r="M4" s="759">
        <f t="shared" si="1"/>
        <v>2008</v>
      </c>
      <c r="N4" s="759">
        <f t="shared" si="1"/>
        <v>2009</v>
      </c>
      <c r="O4" s="759">
        <f t="shared" si="1"/>
        <v>2010</v>
      </c>
      <c r="P4" s="759">
        <f t="shared" si="1"/>
        <v>2011</v>
      </c>
      <c r="Q4" s="759">
        <f t="shared" si="1"/>
        <v>2012</v>
      </c>
      <c r="R4" s="759">
        <f t="shared" si="1"/>
        <v>2013</v>
      </c>
      <c r="S4" s="759">
        <f t="shared" si="1"/>
        <v>2014</v>
      </c>
      <c r="T4" s="759">
        <f t="shared" si="1"/>
        <v>2015</v>
      </c>
      <c r="U4" s="759">
        <f t="shared" si="1"/>
        <v>2016</v>
      </c>
      <c r="V4" s="759">
        <f t="shared" si="1"/>
        <v>2017</v>
      </c>
      <c r="W4" s="759">
        <f t="shared" si="1"/>
        <v>2018</v>
      </c>
      <c r="X4" s="759">
        <f t="shared" si="1"/>
        <v>2019</v>
      </c>
      <c r="Y4" s="759">
        <f t="shared" si="1"/>
        <v>2020</v>
      </c>
      <c r="Z4" s="759">
        <f t="shared" si="1"/>
        <v>2021</v>
      </c>
      <c r="AA4" s="759">
        <f t="shared" si="1"/>
        <v>2022</v>
      </c>
      <c r="AB4" s="760">
        <f t="shared" si="1"/>
        <v>2023</v>
      </c>
      <c r="AC4" s="189"/>
      <c r="AD4" s="163"/>
      <c r="AE4" s="39"/>
      <c r="AF4" s="39"/>
      <c r="AG4" s="39"/>
      <c r="AH4" s="39"/>
      <c r="AI4" s="39"/>
      <c r="AJ4" s="39"/>
      <c r="AK4" s="39"/>
      <c r="AL4" s="39"/>
      <c r="AM4" s="39"/>
      <c r="AN4" s="39"/>
      <c r="AO4" s="39"/>
      <c r="AP4" s="39"/>
      <c r="AQ4" s="39"/>
      <c r="AR4" s="39"/>
      <c r="AS4" s="39"/>
      <c r="AT4" s="39"/>
      <c r="AU4" s="39"/>
      <c r="AV4" s="39"/>
      <c r="AW4" s="39"/>
      <c r="AX4" s="39"/>
      <c r="AY4" s="39"/>
      <c r="AZ4" s="39"/>
    </row>
    <row r="5" spans="1:256" ht="12" customHeight="1">
      <c r="A5" s="953" t="s">
        <v>169</v>
      </c>
      <c r="B5" s="179"/>
      <c r="C5" s="179"/>
      <c r="D5" s="179"/>
      <c r="E5" s="179"/>
      <c r="F5" s="179"/>
      <c r="G5" s="179"/>
      <c r="H5" s="179"/>
      <c r="I5" s="179"/>
      <c r="J5" s="179"/>
      <c r="K5" s="179"/>
      <c r="L5" s="179"/>
      <c r="M5" s="179"/>
      <c r="N5" s="179"/>
      <c r="O5" s="179"/>
      <c r="P5" s="179"/>
      <c r="Q5" s="179"/>
      <c r="R5" s="179"/>
      <c r="S5" s="179"/>
      <c r="T5" s="179"/>
      <c r="U5" s="179"/>
      <c r="V5" s="179"/>
      <c r="W5" s="179"/>
      <c r="X5" s="179"/>
      <c r="Y5" s="179"/>
      <c r="Z5" s="179"/>
      <c r="AA5" s="179"/>
      <c r="AB5" s="782"/>
      <c r="AC5" s="179"/>
      <c r="AD5" s="179"/>
    </row>
    <row r="6" spans="1:256" ht="12" customHeight="1">
      <c r="A6" s="953"/>
      <c r="B6" s="179"/>
      <c r="C6" s="179"/>
      <c r="D6" s="179"/>
      <c r="E6" s="179"/>
      <c r="F6" s="179"/>
      <c r="G6" s="179"/>
      <c r="H6" s="179"/>
      <c r="I6" s="179"/>
      <c r="J6" s="179"/>
      <c r="K6" s="179"/>
      <c r="L6" s="179"/>
      <c r="M6" s="179"/>
      <c r="N6" s="179"/>
      <c r="O6" s="179"/>
      <c r="P6" s="179"/>
      <c r="Q6" s="179"/>
      <c r="R6" s="179"/>
      <c r="S6" s="179"/>
      <c r="T6" s="179"/>
      <c r="U6" s="179"/>
      <c r="V6" s="179"/>
      <c r="W6" s="179"/>
      <c r="X6" s="179"/>
      <c r="Y6" s="179"/>
      <c r="Z6" s="179"/>
      <c r="AA6" s="179"/>
      <c r="AB6" s="782"/>
      <c r="AC6" s="179"/>
      <c r="AD6" s="179"/>
    </row>
    <row r="7" spans="1:256" s="23" customFormat="1" ht="12" customHeight="1">
      <c r="A7" s="954" t="s">
        <v>178</v>
      </c>
      <c r="B7" s="179"/>
      <c r="C7" s="179"/>
      <c r="D7" s="624"/>
      <c r="E7" s="624"/>
      <c r="F7" s="624"/>
      <c r="G7" s="624"/>
      <c r="H7" s="624"/>
      <c r="I7" s="624"/>
      <c r="J7" s="624"/>
      <c r="K7" s="624"/>
      <c r="L7" s="624"/>
      <c r="M7" s="624"/>
      <c r="N7" s="624"/>
      <c r="O7" s="624"/>
      <c r="P7" s="624"/>
      <c r="Q7" s="624"/>
      <c r="R7" s="624"/>
      <c r="S7" s="624"/>
      <c r="T7" s="624"/>
      <c r="U7" s="624"/>
      <c r="V7" s="624"/>
      <c r="W7" s="624"/>
      <c r="X7" s="419"/>
      <c r="Y7" s="419"/>
      <c r="Z7" s="419"/>
      <c r="AA7" s="419"/>
      <c r="AB7" s="955"/>
      <c r="AC7" s="179"/>
      <c r="AD7" s="179"/>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c r="FJ7" s="43"/>
      <c r="FK7" s="43"/>
      <c r="FL7" s="43"/>
      <c r="FM7" s="43"/>
      <c r="FN7" s="43"/>
      <c r="FO7" s="43"/>
      <c r="FP7" s="43"/>
      <c r="FQ7" s="43"/>
      <c r="FR7" s="43"/>
      <c r="FS7" s="43"/>
      <c r="FT7" s="43"/>
      <c r="FU7" s="43"/>
      <c r="FV7" s="43"/>
      <c r="FW7" s="43"/>
      <c r="FX7" s="43"/>
      <c r="FY7" s="43"/>
      <c r="FZ7" s="43"/>
      <c r="GA7" s="43"/>
      <c r="GB7" s="43"/>
      <c r="GC7" s="43"/>
      <c r="GD7" s="43"/>
      <c r="GE7" s="43"/>
      <c r="GF7" s="43"/>
      <c r="GG7" s="43"/>
      <c r="GH7" s="43"/>
      <c r="GI7" s="43"/>
      <c r="GJ7" s="43"/>
      <c r="GK7" s="43"/>
      <c r="GL7" s="43"/>
      <c r="GM7" s="43"/>
      <c r="GN7" s="43"/>
      <c r="GO7" s="43"/>
      <c r="GP7" s="43"/>
      <c r="GQ7" s="43"/>
      <c r="GR7" s="43"/>
      <c r="GS7" s="43"/>
      <c r="GT7" s="43"/>
      <c r="GU7" s="43"/>
      <c r="GV7" s="43"/>
      <c r="GW7" s="43"/>
      <c r="GX7" s="43"/>
      <c r="GY7" s="43"/>
      <c r="GZ7" s="43"/>
      <c r="HA7" s="43"/>
      <c r="HB7" s="43"/>
      <c r="HC7" s="43"/>
      <c r="HD7" s="43"/>
      <c r="HE7" s="43"/>
      <c r="HF7" s="43"/>
      <c r="HG7" s="43"/>
      <c r="HH7" s="43"/>
      <c r="HI7" s="43"/>
      <c r="HJ7" s="43"/>
      <c r="HK7" s="43"/>
      <c r="HL7" s="43"/>
      <c r="HM7" s="43"/>
      <c r="HN7" s="43"/>
      <c r="HO7" s="43"/>
      <c r="HP7" s="43"/>
      <c r="HQ7" s="43"/>
      <c r="HR7" s="43"/>
      <c r="HS7" s="43"/>
      <c r="HT7" s="43"/>
      <c r="HU7" s="43"/>
      <c r="HV7" s="43"/>
      <c r="HW7" s="43"/>
      <c r="HX7" s="43"/>
      <c r="HY7" s="43"/>
      <c r="HZ7" s="43"/>
      <c r="IA7" s="43"/>
      <c r="IB7" s="43"/>
      <c r="IC7" s="43"/>
      <c r="ID7" s="43"/>
      <c r="IE7" s="43"/>
      <c r="IF7" s="43"/>
      <c r="IG7" s="43"/>
      <c r="IH7" s="43"/>
      <c r="II7" s="43"/>
      <c r="IJ7" s="43"/>
      <c r="IK7" s="43"/>
      <c r="IL7" s="43"/>
      <c r="IM7" s="43"/>
      <c r="IN7" s="43"/>
      <c r="IO7" s="43"/>
      <c r="IP7" s="43"/>
      <c r="IQ7" s="43"/>
      <c r="IR7" s="43"/>
      <c r="IS7" s="43"/>
      <c r="IT7" s="43"/>
      <c r="IU7" s="43"/>
      <c r="IV7" s="43"/>
    </row>
    <row r="8" spans="1:256" s="23" customFormat="1" ht="12" customHeight="1">
      <c r="A8" s="910" t="s">
        <v>454</v>
      </c>
      <c r="B8" s="179"/>
      <c r="C8" s="179"/>
      <c r="D8" s="419">
        <f>BS!D45+BS!D46</f>
        <v>153807.11543708591</v>
      </c>
      <c r="E8" s="419">
        <f>BS!E45+BS!E46</f>
        <v>148969.50927369026</v>
      </c>
      <c r="F8" s="419">
        <f>BS!F45+BS!F46</f>
        <v>141438.59906767792</v>
      </c>
      <c r="G8" s="419">
        <f>BS!G45+BS!G46</f>
        <v>133752.8078949941</v>
      </c>
      <c r="H8" s="419">
        <f>BS!H45+BS!H46</f>
        <v>123665.2800542402</v>
      </c>
      <c r="I8" s="419">
        <f>BS!I45+BS!I46</f>
        <v>112994.92878719965</v>
      </c>
      <c r="J8" s="419">
        <f>BS!J45+BS!J46</f>
        <v>106655.26846480841</v>
      </c>
      <c r="K8" s="419">
        <f>BS!K45+BS!K46</f>
        <v>100319.20667369358</v>
      </c>
      <c r="L8" s="419">
        <f>BS!L45+BS!L46</f>
        <v>93988.765459366725</v>
      </c>
      <c r="M8" s="419">
        <f>BS!M45+BS!M46</f>
        <v>87652.703668251881</v>
      </c>
      <c r="N8" s="419">
        <f>BS!N45+BS!N46</f>
        <v>81327.809561989416</v>
      </c>
      <c r="O8" s="419">
        <f>BS!O45+BS!O46</f>
        <v>74198.511317667522</v>
      </c>
      <c r="P8" s="419">
        <f>BS!P45+BS!P46</f>
        <v>67934.6354001133</v>
      </c>
      <c r="Q8" s="419">
        <f>BS!Q45+BS!Q46</f>
        <v>61681.780229964221</v>
      </c>
      <c r="R8" s="419">
        <f>BS!R45+BS!R46</f>
        <v>55434.545636603158</v>
      </c>
      <c r="S8" s="419">
        <f>BS!S45+BS!S46</f>
        <v>50879.347195702081</v>
      </c>
      <c r="T8" s="419">
        <f>BS!T45+BS!T46</f>
        <v>48083.204055647322</v>
      </c>
      <c r="U8" s="419">
        <f>BS!U45+BS!U46</f>
        <v>45337.553489785721</v>
      </c>
      <c r="V8" s="419">
        <f>BS!V45+BS!V46</f>
        <v>42591.902923924121</v>
      </c>
      <c r="W8" s="419">
        <f>BS!W45+BS!W46</f>
        <v>39746.404412903576</v>
      </c>
      <c r="X8" s="419">
        <f>BS!X45+BS!X46</f>
        <v>36890.74498138691</v>
      </c>
      <c r="Y8" s="419">
        <f>BS!Y45+BS!Y46</f>
        <v>0</v>
      </c>
      <c r="Z8" s="419">
        <f>BS!Z45+BS!Z46</f>
        <v>0</v>
      </c>
      <c r="AA8" s="419">
        <f>BS!AA45+BS!AA46</f>
        <v>0</v>
      </c>
      <c r="AB8" s="955">
        <f>BS!AB45+BS!AB46</f>
        <v>0</v>
      </c>
      <c r="AC8" s="179"/>
      <c r="AD8" s="179"/>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3"/>
      <c r="EU8" s="43"/>
      <c r="EV8" s="43"/>
      <c r="EW8" s="43"/>
      <c r="EX8" s="43"/>
      <c r="EY8" s="43"/>
      <c r="EZ8" s="43"/>
      <c r="FA8" s="43"/>
      <c r="FB8" s="43"/>
      <c r="FC8" s="43"/>
      <c r="FD8" s="43"/>
      <c r="FE8" s="43"/>
      <c r="FF8" s="43"/>
      <c r="FG8" s="43"/>
      <c r="FH8" s="43"/>
      <c r="FI8" s="43"/>
      <c r="FJ8" s="43"/>
      <c r="FK8" s="43"/>
      <c r="FL8" s="43"/>
      <c r="FM8" s="43"/>
      <c r="FN8" s="43"/>
      <c r="FO8" s="43"/>
      <c r="FP8" s="43"/>
      <c r="FQ8" s="43"/>
      <c r="FR8" s="43"/>
      <c r="FS8" s="43"/>
      <c r="FT8" s="43"/>
      <c r="FU8" s="43"/>
      <c r="FV8" s="43"/>
      <c r="FW8" s="43"/>
      <c r="FX8" s="43"/>
      <c r="FY8" s="43"/>
      <c r="FZ8" s="43"/>
      <c r="GA8" s="43"/>
      <c r="GB8" s="43"/>
      <c r="GC8" s="43"/>
      <c r="GD8" s="43"/>
      <c r="GE8" s="43"/>
      <c r="GF8" s="43"/>
      <c r="GG8" s="43"/>
      <c r="GH8" s="43"/>
      <c r="GI8" s="43"/>
      <c r="GJ8" s="43"/>
      <c r="GK8" s="43"/>
      <c r="GL8" s="43"/>
      <c r="GM8" s="43"/>
      <c r="GN8" s="43"/>
      <c r="GO8" s="43"/>
      <c r="GP8" s="43"/>
      <c r="GQ8" s="43"/>
      <c r="GR8" s="43"/>
      <c r="GS8" s="43"/>
      <c r="GT8" s="43"/>
      <c r="GU8" s="43"/>
      <c r="GV8" s="43"/>
      <c r="GW8" s="43"/>
      <c r="GX8" s="43"/>
      <c r="GY8" s="43"/>
      <c r="GZ8" s="43"/>
      <c r="HA8" s="43"/>
      <c r="HB8" s="43"/>
      <c r="HC8" s="43"/>
      <c r="HD8" s="43"/>
      <c r="HE8" s="43"/>
      <c r="HF8" s="43"/>
      <c r="HG8" s="43"/>
      <c r="HH8" s="43"/>
      <c r="HI8" s="43"/>
      <c r="HJ8" s="43"/>
      <c r="HK8" s="43"/>
      <c r="HL8" s="43"/>
      <c r="HM8" s="43"/>
      <c r="HN8" s="43"/>
      <c r="HO8" s="43"/>
      <c r="HP8" s="43"/>
      <c r="HQ8" s="43"/>
      <c r="HR8" s="43"/>
      <c r="HS8" s="43"/>
      <c r="HT8" s="43"/>
      <c r="HU8" s="43"/>
      <c r="HV8" s="43"/>
      <c r="HW8" s="43"/>
      <c r="HX8" s="43"/>
      <c r="HY8" s="43"/>
      <c r="HZ8" s="43"/>
      <c r="IA8" s="43"/>
      <c r="IB8" s="43"/>
      <c r="IC8" s="43"/>
      <c r="ID8" s="43"/>
      <c r="IE8" s="43"/>
      <c r="IF8" s="43"/>
      <c r="IG8" s="43"/>
      <c r="IH8" s="43"/>
      <c r="II8" s="43"/>
      <c r="IJ8" s="43"/>
      <c r="IK8" s="43"/>
      <c r="IL8" s="43"/>
      <c r="IM8" s="43"/>
      <c r="IN8" s="43"/>
      <c r="IO8" s="43"/>
      <c r="IP8" s="43"/>
      <c r="IQ8" s="43"/>
      <c r="IR8" s="43"/>
      <c r="IS8" s="43"/>
      <c r="IT8" s="43"/>
      <c r="IU8" s="43"/>
      <c r="IV8" s="43"/>
    </row>
    <row r="9" spans="1:256" ht="12" customHeight="1">
      <c r="A9" s="910" t="s">
        <v>179</v>
      </c>
      <c r="B9" s="179"/>
      <c r="C9" s="179"/>
      <c r="D9" s="427">
        <f>IF(D$3&gt;ProjectLife,0,'Project Assumptions'!$N$68)</f>
        <v>0</v>
      </c>
      <c r="E9" s="427">
        <f>IF(E$3&gt;ProjectLife,0,'Project Assumptions'!$N$68)</f>
        <v>0</v>
      </c>
      <c r="F9" s="427">
        <f>IF(F$3&gt;ProjectLife,0,'Project Assumptions'!$N$68)</f>
        <v>0</v>
      </c>
      <c r="G9" s="427">
        <f>IF(G$3&gt;ProjectLife,0,'Project Assumptions'!$N$68)</f>
        <v>0</v>
      </c>
      <c r="H9" s="427">
        <f>IF(H$3&gt;ProjectLife,0,'Project Assumptions'!$N$68)</f>
        <v>0</v>
      </c>
      <c r="I9" s="427">
        <f>IF(I$3&gt;ProjectLife,0,'Project Assumptions'!$N$68)</f>
        <v>0</v>
      </c>
      <c r="J9" s="427">
        <f>IF(J$3&gt;ProjectLife,0,'Project Assumptions'!$N$68)</f>
        <v>0</v>
      </c>
      <c r="K9" s="427">
        <f>IF(K$3&gt;ProjectLife,0,'Project Assumptions'!$N$68)</f>
        <v>0</v>
      </c>
      <c r="L9" s="427">
        <f>IF(L$3&gt;ProjectLife,0,'Project Assumptions'!$N$68)</f>
        <v>0</v>
      </c>
      <c r="M9" s="427">
        <f>IF(M$3&gt;ProjectLife,0,'Project Assumptions'!$N$68)</f>
        <v>0</v>
      </c>
      <c r="N9" s="427">
        <f>IF(N$3&gt;ProjectLife,0,'Project Assumptions'!$N$68)</f>
        <v>0</v>
      </c>
      <c r="O9" s="427">
        <f>IF(O$3&gt;ProjectLife,0,'Project Assumptions'!$N$68)</f>
        <v>0</v>
      </c>
      <c r="P9" s="427">
        <f>IF(P$3&gt;ProjectLife,0,'Project Assumptions'!$N$68)</f>
        <v>0</v>
      </c>
      <c r="Q9" s="427">
        <f>IF(Q$3&gt;ProjectLife,0,'Project Assumptions'!$N$68)</f>
        <v>0</v>
      </c>
      <c r="R9" s="427">
        <f>IF(R$3&gt;ProjectLife,0,'Project Assumptions'!$N$68)</f>
        <v>0</v>
      </c>
      <c r="S9" s="427">
        <f>IF(S$3&gt;ProjectLife,0,'Project Assumptions'!$N$68)</f>
        <v>0</v>
      </c>
      <c r="T9" s="427">
        <f>IF(T$3&gt;ProjectLife,0,'Project Assumptions'!$N$68)</f>
        <v>0</v>
      </c>
      <c r="U9" s="427">
        <f>IF(U$3&gt;ProjectLife,0,'Project Assumptions'!$N$68)</f>
        <v>0</v>
      </c>
      <c r="V9" s="427">
        <f>IF(V$3&gt;ProjectLife,0,'Project Assumptions'!$N$68)</f>
        <v>0</v>
      </c>
      <c r="W9" s="427">
        <f>IF(W$3&gt;ProjectLife,0,'Project Assumptions'!$N$68)</f>
        <v>0</v>
      </c>
      <c r="X9" s="427">
        <f>IF(X$3&gt;ProjectLife+1,0,'Project Assumptions'!$N$68)</f>
        <v>0</v>
      </c>
      <c r="Y9" s="427">
        <f>IF(Y$3&gt;ProjectLife,0,'Project Assumptions'!$N$68)</f>
        <v>0</v>
      </c>
      <c r="Z9" s="427">
        <f>IF(Z$3&gt;ProjectLife,0,'Project Assumptions'!$N$68)</f>
        <v>0</v>
      </c>
      <c r="AA9" s="427">
        <f>IF(AA$3&gt;ProjectLife,0,'Project Assumptions'!$N$68)</f>
        <v>0</v>
      </c>
      <c r="AB9" s="956">
        <f>IF(AB$3&gt;ProjectLife,0,'Project Assumptions'!$N$68)</f>
        <v>0</v>
      </c>
      <c r="AC9" s="424"/>
      <c r="AD9" s="424"/>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c r="FY9" s="43"/>
      <c r="FZ9" s="43"/>
      <c r="GA9" s="43"/>
      <c r="GB9" s="43"/>
      <c r="GC9" s="43"/>
      <c r="GD9" s="43"/>
      <c r="GE9" s="43"/>
      <c r="GF9" s="43"/>
      <c r="GG9" s="43"/>
      <c r="GH9" s="43"/>
      <c r="GI9" s="43"/>
      <c r="GJ9" s="43"/>
      <c r="GK9" s="43"/>
      <c r="GL9" s="43"/>
      <c r="GM9" s="43"/>
      <c r="GN9" s="43"/>
      <c r="GO9" s="43"/>
      <c r="GP9" s="43"/>
      <c r="GQ9" s="43"/>
      <c r="GR9" s="43"/>
      <c r="GS9" s="43"/>
      <c r="GT9" s="43"/>
      <c r="GU9" s="43"/>
      <c r="GV9" s="43"/>
      <c r="GW9" s="43"/>
      <c r="GX9" s="43"/>
      <c r="GY9" s="43"/>
      <c r="GZ9" s="43"/>
      <c r="HA9" s="43"/>
      <c r="HB9" s="43"/>
      <c r="HC9" s="43"/>
      <c r="HD9" s="43"/>
      <c r="HE9" s="43"/>
      <c r="HF9" s="43"/>
      <c r="HG9" s="43"/>
      <c r="HH9" s="43"/>
      <c r="HI9" s="43"/>
      <c r="HJ9" s="43"/>
      <c r="HK9" s="43"/>
      <c r="HL9" s="43"/>
      <c r="HM9" s="43"/>
      <c r="HN9" s="43"/>
      <c r="HO9" s="43"/>
      <c r="HP9" s="43"/>
      <c r="HQ9" s="43"/>
      <c r="HR9" s="43"/>
      <c r="HS9" s="43"/>
      <c r="HT9" s="43"/>
      <c r="HU9" s="43"/>
      <c r="HV9" s="43"/>
      <c r="HW9" s="43"/>
      <c r="HX9" s="43"/>
      <c r="HY9" s="43"/>
      <c r="HZ9" s="43"/>
      <c r="IA9" s="43"/>
      <c r="IB9" s="43"/>
      <c r="IC9" s="43"/>
      <c r="ID9" s="43"/>
      <c r="IE9" s="43"/>
      <c r="IF9" s="43"/>
      <c r="IG9" s="43"/>
      <c r="IH9" s="43"/>
      <c r="II9" s="43"/>
      <c r="IJ9" s="43"/>
      <c r="IK9" s="43"/>
      <c r="IL9" s="43"/>
      <c r="IM9" s="43"/>
      <c r="IN9" s="43"/>
      <c r="IO9" s="43"/>
      <c r="IP9" s="43"/>
      <c r="IQ9" s="43"/>
      <c r="IR9" s="43"/>
      <c r="IS9" s="43"/>
    </row>
    <row r="10" spans="1:256" ht="12" customHeight="1">
      <c r="A10" s="795" t="s">
        <v>514</v>
      </c>
      <c r="B10" s="440"/>
      <c r="C10" s="440"/>
      <c r="D10" s="960">
        <f>D9*D8</f>
        <v>0</v>
      </c>
      <c r="E10" s="960">
        <f t="shared" ref="E10:AB10" si="2">E9*E8</f>
        <v>0</v>
      </c>
      <c r="F10" s="960">
        <f t="shared" si="2"/>
        <v>0</v>
      </c>
      <c r="G10" s="960">
        <f t="shared" si="2"/>
        <v>0</v>
      </c>
      <c r="H10" s="960">
        <f t="shared" si="2"/>
        <v>0</v>
      </c>
      <c r="I10" s="960">
        <f t="shared" si="2"/>
        <v>0</v>
      </c>
      <c r="J10" s="960">
        <f t="shared" si="2"/>
        <v>0</v>
      </c>
      <c r="K10" s="960">
        <f t="shared" si="2"/>
        <v>0</v>
      </c>
      <c r="L10" s="960">
        <f t="shared" si="2"/>
        <v>0</v>
      </c>
      <c r="M10" s="960">
        <f t="shared" si="2"/>
        <v>0</v>
      </c>
      <c r="N10" s="960">
        <f t="shared" si="2"/>
        <v>0</v>
      </c>
      <c r="O10" s="960">
        <f t="shared" si="2"/>
        <v>0</v>
      </c>
      <c r="P10" s="960">
        <f t="shared" si="2"/>
        <v>0</v>
      </c>
      <c r="Q10" s="960">
        <f t="shared" si="2"/>
        <v>0</v>
      </c>
      <c r="R10" s="960">
        <f t="shared" si="2"/>
        <v>0</v>
      </c>
      <c r="S10" s="960">
        <f t="shared" si="2"/>
        <v>0</v>
      </c>
      <c r="T10" s="960">
        <f t="shared" si="2"/>
        <v>0</v>
      </c>
      <c r="U10" s="960">
        <f t="shared" si="2"/>
        <v>0</v>
      </c>
      <c r="V10" s="960">
        <f t="shared" si="2"/>
        <v>0</v>
      </c>
      <c r="W10" s="960">
        <f t="shared" si="2"/>
        <v>0</v>
      </c>
      <c r="X10" s="960">
        <f t="shared" si="2"/>
        <v>0</v>
      </c>
      <c r="Y10" s="960">
        <f t="shared" si="2"/>
        <v>0</v>
      </c>
      <c r="Z10" s="960">
        <f t="shared" si="2"/>
        <v>0</v>
      </c>
      <c r="AA10" s="960">
        <f t="shared" si="2"/>
        <v>0</v>
      </c>
      <c r="AB10" s="960">
        <f t="shared" si="2"/>
        <v>0</v>
      </c>
      <c r="AC10" s="179"/>
      <c r="AD10" s="424"/>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c r="FY10" s="43"/>
      <c r="FZ10" s="43"/>
      <c r="GA10" s="43"/>
      <c r="GB10" s="43"/>
      <c r="GC10" s="43"/>
      <c r="GD10" s="43"/>
      <c r="GE10" s="43"/>
      <c r="GF10" s="43"/>
      <c r="GG10" s="43"/>
      <c r="GH10" s="43"/>
      <c r="GI10" s="43"/>
      <c r="GJ10" s="43"/>
      <c r="GK10" s="43"/>
      <c r="GL10" s="43"/>
      <c r="GM10" s="43"/>
      <c r="GN10" s="43"/>
      <c r="GO10" s="43"/>
      <c r="GP10" s="43"/>
      <c r="GQ10" s="43"/>
      <c r="GR10" s="43"/>
      <c r="GS10" s="43"/>
      <c r="GT10" s="43"/>
      <c r="GU10" s="43"/>
      <c r="GV10" s="43"/>
      <c r="GW10" s="43"/>
      <c r="GX10" s="43"/>
      <c r="GY10" s="43"/>
      <c r="GZ10" s="43"/>
      <c r="HA10" s="43"/>
      <c r="HB10" s="43"/>
      <c r="HC10" s="43"/>
      <c r="HD10" s="43"/>
      <c r="HE10" s="43"/>
      <c r="HF10" s="43"/>
      <c r="HG10" s="43"/>
      <c r="HH10" s="43"/>
      <c r="HI10" s="43"/>
      <c r="HJ10" s="43"/>
      <c r="HK10" s="43"/>
      <c r="HL10" s="43"/>
      <c r="HM10" s="43"/>
      <c r="HN10" s="43"/>
      <c r="HO10" s="43"/>
      <c r="HP10" s="43"/>
      <c r="HQ10" s="43"/>
      <c r="HR10" s="43"/>
      <c r="HS10" s="43"/>
      <c r="HT10" s="43"/>
      <c r="HU10" s="43"/>
      <c r="HV10" s="43"/>
      <c r="HW10" s="43"/>
      <c r="HX10" s="43"/>
      <c r="HY10" s="43"/>
      <c r="HZ10" s="43"/>
      <c r="IA10" s="43"/>
      <c r="IB10" s="43"/>
      <c r="IC10" s="43"/>
      <c r="ID10" s="43"/>
      <c r="IE10" s="43"/>
      <c r="IF10" s="43"/>
      <c r="IG10" s="43"/>
      <c r="IH10" s="43"/>
      <c r="II10" s="43"/>
      <c r="IJ10" s="43"/>
      <c r="IK10" s="43"/>
      <c r="IL10" s="43"/>
      <c r="IM10" s="43"/>
      <c r="IN10" s="43"/>
      <c r="IO10" s="43"/>
      <c r="IP10" s="43"/>
      <c r="IQ10" s="43"/>
      <c r="IR10" s="43"/>
      <c r="IS10" s="43"/>
      <c r="IT10" s="43"/>
      <c r="IU10" s="43"/>
    </row>
    <row r="11" spans="1:256" ht="12" customHeight="1">
      <c r="A11" s="779"/>
      <c r="B11" s="179"/>
      <c r="C11" s="429"/>
      <c r="D11" s="429"/>
      <c r="E11" s="429"/>
      <c r="F11" s="429"/>
      <c r="G11" s="429"/>
      <c r="H11" s="429"/>
      <c r="I11" s="429"/>
      <c r="J11" s="429"/>
      <c r="K11" s="429"/>
      <c r="L11" s="429"/>
      <c r="M11" s="429"/>
      <c r="N11" s="429"/>
      <c r="O11" s="429"/>
      <c r="P11" s="429"/>
      <c r="Q11" s="429"/>
      <c r="R11" s="429"/>
      <c r="S11" s="429"/>
      <c r="T11" s="429"/>
      <c r="U11" s="429"/>
      <c r="V11" s="429"/>
      <c r="W11" s="429"/>
      <c r="X11" s="429"/>
      <c r="Y11" s="429"/>
      <c r="Z11" s="429"/>
      <c r="AA11" s="429"/>
      <c r="AB11" s="957"/>
      <c r="AC11" s="429"/>
      <c r="AD11" s="429"/>
    </row>
    <row r="12" spans="1:256" s="23" customFormat="1" ht="12" customHeight="1">
      <c r="A12" s="954" t="s">
        <v>171</v>
      </c>
      <c r="B12" s="179"/>
      <c r="C12" s="179"/>
      <c r="D12" s="428"/>
      <c r="E12" s="428"/>
      <c r="F12" s="428"/>
      <c r="G12" s="428"/>
      <c r="H12" s="428"/>
      <c r="I12" s="428"/>
      <c r="J12" s="428"/>
      <c r="K12" s="428"/>
      <c r="L12" s="428"/>
      <c r="M12" s="428"/>
      <c r="N12" s="428"/>
      <c r="O12" s="428"/>
      <c r="P12" s="428"/>
      <c r="Q12" s="428"/>
      <c r="R12" s="428"/>
      <c r="S12" s="428"/>
      <c r="T12" s="428"/>
      <c r="U12" s="428"/>
      <c r="V12" s="428"/>
      <c r="W12" s="428"/>
      <c r="X12" s="428"/>
      <c r="Y12" s="428"/>
      <c r="Z12" s="428"/>
      <c r="AA12" s="428"/>
      <c r="AB12" s="958"/>
      <c r="AC12" s="179"/>
      <c r="AD12" s="179"/>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c r="FY12" s="43"/>
      <c r="FZ12" s="43"/>
      <c r="GA12" s="43"/>
      <c r="GB12" s="43"/>
      <c r="GC12" s="43"/>
      <c r="GD12" s="43"/>
      <c r="GE12" s="43"/>
      <c r="GF12" s="43"/>
      <c r="GG12" s="43"/>
      <c r="GH12" s="43"/>
      <c r="GI12" s="43"/>
      <c r="GJ12" s="43"/>
      <c r="GK12" s="43"/>
      <c r="GL12" s="43"/>
      <c r="GM12" s="43"/>
      <c r="GN12" s="43"/>
      <c r="GO12" s="43"/>
      <c r="GP12" s="43"/>
      <c r="GQ12" s="43"/>
      <c r="GR12" s="43"/>
      <c r="GS12" s="43"/>
      <c r="GT12" s="43"/>
      <c r="GU12" s="43"/>
      <c r="GV12" s="43"/>
      <c r="GW12" s="43"/>
      <c r="GX12" s="43"/>
      <c r="GY12" s="43"/>
      <c r="GZ12" s="43"/>
      <c r="HA12" s="43"/>
      <c r="HB12" s="43"/>
      <c r="HC12" s="43"/>
      <c r="HD12" s="43"/>
      <c r="HE12" s="43"/>
      <c r="HF12" s="43"/>
      <c r="HG12" s="43"/>
      <c r="HH12" s="43"/>
      <c r="HI12" s="43"/>
      <c r="HJ12" s="43"/>
      <c r="HK12" s="43"/>
      <c r="HL12" s="43"/>
      <c r="HM12" s="43"/>
      <c r="HN12" s="43"/>
      <c r="HO12" s="43"/>
      <c r="HP12" s="43"/>
      <c r="HQ12" s="43"/>
      <c r="HR12" s="43"/>
      <c r="HS12" s="43"/>
      <c r="HT12" s="43"/>
      <c r="HU12" s="43"/>
      <c r="HV12" s="43"/>
      <c r="HW12" s="43"/>
      <c r="HX12" s="43"/>
      <c r="HY12" s="43"/>
      <c r="HZ12" s="43"/>
      <c r="IA12" s="43"/>
      <c r="IB12" s="43"/>
      <c r="IC12" s="43"/>
      <c r="ID12" s="43"/>
      <c r="IE12" s="43"/>
      <c r="IF12" s="43"/>
      <c r="IG12" s="43"/>
      <c r="IH12" s="43"/>
      <c r="II12" s="43"/>
      <c r="IJ12" s="43"/>
      <c r="IK12" s="43"/>
      <c r="IL12" s="43"/>
      <c r="IM12" s="43"/>
      <c r="IN12" s="43"/>
      <c r="IO12" s="43"/>
      <c r="IP12" s="43"/>
      <c r="IQ12" s="43"/>
      <c r="IR12" s="43"/>
      <c r="IS12" s="43"/>
      <c r="IT12" s="43"/>
      <c r="IU12" s="43"/>
      <c r="IV12" s="43"/>
    </row>
    <row r="13" spans="1:256" s="23" customFormat="1" ht="12" customHeight="1">
      <c r="A13" s="910" t="s">
        <v>172</v>
      </c>
      <c r="B13" s="179"/>
      <c r="C13" s="179"/>
      <c r="D13" s="419">
        <f>'Book Income Statement'!D17</f>
        <v>26898.216959999994</v>
      </c>
      <c r="E13" s="419">
        <f>'Book Income Statement'!E17</f>
        <v>40079.915814977372</v>
      </c>
      <c r="F13" s="419">
        <f>'Book Income Statement'!F17</f>
        <v>40673.161342217194</v>
      </c>
      <c r="G13" s="419">
        <f>'Book Income Statement'!G17</f>
        <v>40731.64097768371</v>
      </c>
      <c r="H13" s="419">
        <f>'Book Income Statement'!H17</f>
        <v>47605.84011425489</v>
      </c>
      <c r="I13" s="419">
        <f>'Book Income Statement'!I17</f>
        <v>52769.765885234337</v>
      </c>
      <c r="J13" s="419">
        <f>'Book Income Statement'!J17</f>
        <v>53213.775120657876</v>
      </c>
      <c r="K13" s="419">
        <f>'Book Income Statement'!K17</f>
        <v>53653.259503785877</v>
      </c>
      <c r="L13" s="419">
        <f>'Book Income Statement'!L17</f>
        <v>54718.611193040255</v>
      </c>
      <c r="M13" s="419">
        <f>'Book Income Statement'!M17</f>
        <v>55165.928277364612</v>
      </c>
      <c r="N13" s="419">
        <f>'Book Income Statement'!N17</f>
        <v>56276.660029826366</v>
      </c>
      <c r="O13" s="419">
        <f>'Book Income Statement'!O17</f>
        <v>56731.133874277803</v>
      </c>
      <c r="P13" s="419">
        <f>'Book Income Statement'!P17</f>
        <v>57888.82179464693</v>
      </c>
      <c r="Q13" s="419">
        <f>'Book Income Statement'!Q17</f>
        <v>58349.665078533413</v>
      </c>
      <c r="R13" s="419">
        <f>'Book Income Statement'!R17</f>
        <v>58802.386402713681</v>
      </c>
      <c r="S13" s="419">
        <f>'Book Income Statement'!S17</f>
        <v>59246.083690649852</v>
      </c>
      <c r="T13" s="419">
        <f>'Book Income Statement'!T17</f>
        <v>59679.808050975516</v>
      </c>
      <c r="U13" s="419">
        <f>'Book Income Statement'!U17</f>
        <v>60102.561780474927</v>
      </c>
      <c r="V13" s="419">
        <f>'Book Income Statement'!V17</f>
        <v>60513.296289374215</v>
      </c>
      <c r="W13" s="419">
        <f>'Book Income Statement'!W17</f>
        <v>60910.909946080785</v>
      </c>
      <c r="X13" s="419">
        <f>'Book Income Statement'!X17</f>
        <v>61294.245838405084</v>
      </c>
      <c r="Y13" s="419">
        <f>'Book Income Statement'!Y17</f>
        <v>0</v>
      </c>
      <c r="Z13" s="419">
        <f>'Book Income Statement'!Z17</f>
        <v>0</v>
      </c>
      <c r="AA13" s="419">
        <f>'Book Income Statement'!AA17</f>
        <v>0</v>
      </c>
      <c r="AB13" s="955">
        <f>'Book Income Statement'!AB17</f>
        <v>0</v>
      </c>
      <c r="AC13" s="179"/>
      <c r="AD13" s="179"/>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c r="FY13" s="43"/>
      <c r="FZ13" s="43"/>
      <c r="GA13" s="43"/>
      <c r="GB13" s="43"/>
      <c r="GC13" s="43"/>
      <c r="GD13" s="43"/>
      <c r="GE13" s="43"/>
      <c r="GF13" s="43"/>
      <c r="GG13" s="43"/>
      <c r="GH13" s="43"/>
      <c r="GI13" s="43"/>
      <c r="GJ13" s="43"/>
      <c r="GK13" s="43"/>
      <c r="GL13" s="43"/>
      <c r="GM13" s="43"/>
      <c r="GN13" s="43"/>
      <c r="GO13" s="43"/>
      <c r="GP13" s="43"/>
      <c r="GQ13" s="43"/>
      <c r="GR13" s="43"/>
      <c r="GS13" s="43"/>
      <c r="GT13" s="43"/>
      <c r="GU13" s="43"/>
      <c r="GV13" s="43"/>
      <c r="GW13" s="43"/>
      <c r="GX13" s="43"/>
      <c r="GY13" s="43"/>
      <c r="GZ13" s="43"/>
      <c r="HA13" s="43"/>
      <c r="HB13" s="43"/>
      <c r="HC13" s="43"/>
      <c r="HD13" s="43"/>
      <c r="HE13" s="43"/>
      <c r="HF13" s="43"/>
      <c r="HG13" s="43"/>
      <c r="HH13" s="43"/>
      <c r="HI13" s="43"/>
      <c r="HJ13" s="43"/>
      <c r="HK13" s="43"/>
      <c r="HL13" s="43"/>
      <c r="HM13" s="43"/>
      <c r="HN13" s="43"/>
      <c r="HO13" s="43"/>
      <c r="HP13" s="43"/>
      <c r="HQ13" s="43"/>
      <c r="HR13" s="43"/>
      <c r="HS13" s="43"/>
      <c r="HT13" s="43"/>
      <c r="HU13" s="43"/>
      <c r="HV13" s="43"/>
      <c r="HW13" s="43"/>
      <c r="HX13" s="43"/>
      <c r="HY13" s="43"/>
      <c r="HZ13" s="43"/>
      <c r="IA13" s="43"/>
      <c r="IB13" s="43"/>
      <c r="IC13" s="43"/>
      <c r="ID13" s="43"/>
      <c r="IE13" s="43"/>
      <c r="IF13" s="43"/>
      <c r="IG13" s="43"/>
      <c r="IH13" s="43"/>
      <c r="II13" s="43"/>
      <c r="IJ13" s="43"/>
      <c r="IK13" s="43"/>
      <c r="IL13" s="43"/>
      <c r="IM13" s="43"/>
      <c r="IN13" s="43"/>
      <c r="IO13" s="43"/>
      <c r="IP13" s="43"/>
      <c r="IQ13" s="43"/>
      <c r="IR13" s="43"/>
      <c r="IS13" s="43"/>
      <c r="IT13" s="43"/>
      <c r="IU13" s="43"/>
      <c r="IV13" s="43"/>
    </row>
    <row r="14" spans="1:256" s="23" customFormat="1" ht="12" customHeight="1">
      <c r="A14" s="910" t="s">
        <v>173</v>
      </c>
      <c r="B14" s="179"/>
      <c r="C14" s="179"/>
      <c r="D14" s="430">
        <f>IF(D$3&gt;'Project Assumptions'!$I$16,0,'Project Assumptions'!$N$67)</f>
        <v>0</v>
      </c>
      <c r="E14" s="430">
        <f>IF(E3&gt;'Project Assumptions'!$I$16,0,'Project Assumptions'!$N$67)</f>
        <v>0</v>
      </c>
      <c r="F14" s="430">
        <f>IF(F3&gt;'Project Assumptions'!$I$16,0,'Project Assumptions'!$N$67)</f>
        <v>0</v>
      </c>
      <c r="G14" s="430">
        <f>IF(G3&gt;'Project Assumptions'!$I$16,0,'Project Assumptions'!$N$67)</f>
        <v>0</v>
      </c>
      <c r="H14" s="430">
        <f>IF(H3&gt;'Project Assumptions'!$I$16,0,'Project Assumptions'!$N$67)</f>
        <v>0</v>
      </c>
      <c r="I14" s="430">
        <f>IF(I3&gt;'Project Assumptions'!$I$16,0,'Project Assumptions'!$N$67)</f>
        <v>0</v>
      </c>
      <c r="J14" s="430">
        <f>IF(J3&gt;'Project Assumptions'!$I$16,0,'Project Assumptions'!$N$67)</f>
        <v>0</v>
      </c>
      <c r="K14" s="430">
        <f>IF(K3&gt;'Project Assumptions'!$I$16,0,'Project Assumptions'!$N$67)</f>
        <v>0</v>
      </c>
      <c r="L14" s="430">
        <f>IF(L3&gt;'Project Assumptions'!$I$16,0,'Project Assumptions'!$N$67)</f>
        <v>0</v>
      </c>
      <c r="M14" s="430">
        <f>IF(M3&gt;'Project Assumptions'!$I$16,0,'Project Assumptions'!$N$67)</f>
        <v>0</v>
      </c>
      <c r="N14" s="430">
        <f>IF(N3&gt;'Project Assumptions'!$I$16,0,'Project Assumptions'!$N$67)</f>
        <v>0</v>
      </c>
      <c r="O14" s="430">
        <f>IF(O3&gt;'Project Assumptions'!$I$16,0,'Project Assumptions'!$N$67)</f>
        <v>0</v>
      </c>
      <c r="P14" s="430">
        <f>IF(P3&gt;'Project Assumptions'!$I$16,0,'Project Assumptions'!$N$67)</f>
        <v>0</v>
      </c>
      <c r="Q14" s="430">
        <f>IF(Q3&gt;'Project Assumptions'!$I$16,0,'Project Assumptions'!$N$67)</f>
        <v>0</v>
      </c>
      <c r="R14" s="430">
        <f>IF(R3&gt;'Project Assumptions'!$I$16,0,'Project Assumptions'!$N$67)</f>
        <v>0</v>
      </c>
      <c r="S14" s="430">
        <f>IF(S3&gt;'Project Assumptions'!$I$16,0,'Project Assumptions'!$N$67)</f>
        <v>0</v>
      </c>
      <c r="T14" s="430">
        <f>IF(T3&gt;'Project Assumptions'!$I$16,0,'Project Assumptions'!$N$67)</f>
        <v>0</v>
      </c>
      <c r="U14" s="430">
        <f>IF(U3&gt;'Project Assumptions'!$I$16,0,'Project Assumptions'!$N$67)</f>
        <v>0</v>
      </c>
      <c r="V14" s="430">
        <f>IF(V3&gt;'Project Assumptions'!$I$16,0,'Project Assumptions'!$N$67)</f>
        <v>0</v>
      </c>
      <c r="W14" s="430">
        <f>IF(W3&gt;'Project Assumptions'!$I$16,0,'Project Assumptions'!$N$67)</f>
        <v>0</v>
      </c>
      <c r="X14" s="430">
        <f>IF(X3&gt;'Project Assumptions'!$I$16,0,'Project Assumptions'!$N$67)</f>
        <v>0</v>
      </c>
      <c r="Y14" s="430">
        <f>IF(Y3&gt;'Project Assumptions'!$I$16,0,'Project Assumptions'!$N$67)</f>
        <v>0</v>
      </c>
      <c r="Z14" s="430">
        <f>IF(Z3&gt;'Project Assumptions'!$I$16,0,'Project Assumptions'!$N$67)</f>
        <v>0</v>
      </c>
      <c r="AA14" s="430">
        <f>IF(AA3&gt;'Project Assumptions'!$I$16,0,'Project Assumptions'!$N$67)</f>
        <v>0</v>
      </c>
      <c r="AB14" s="959">
        <f>IF(AB3&gt;'Project Assumptions'!$I$16,0,'Project Assumptions'!$N$67)</f>
        <v>0</v>
      </c>
      <c r="AC14" s="179"/>
      <c r="AD14" s="179"/>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c r="FY14" s="43"/>
      <c r="FZ14" s="43"/>
      <c r="GA14" s="43"/>
      <c r="GB14" s="43"/>
      <c r="GC14" s="43"/>
      <c r="GD14" s="43"/>
      <c r="GE14" s="43"/>
      <c r="GF14" s="43"/>
      <c r="GG14" s="43"/>
      <c r="GH14" s="43"/>
      <c r="GI14" s="43"/>
      <c r="GJ14" s="43"/>
      <c r="GK14" s="43"/>
      <c r="GL14" s="43"/>
      <c r="GM14" s="43"/>
      <c r="GN14" s="43"/>
      <c r="GO14" s="43"/>
      <c r="GP14" s="43"/>
      <c r="GQ14" s="43"/>
      <c r="GR14" s="43"/>
      <c r="GS14" s="43"/>
      <c r="GT14" s="43"/>
      <c r="GU14" s="43"/>
      <c r="GV14" s="43"/>
      <c r="GW14" s="43"/>
      <c r="GX14" s="43"/>
      <c r="GY14" s="43"/>
      <c r="GZ14" s="43"/>
      <c r="HA14" s="43"/>
      <c r="HB14" s="43"/>
      <c r="HC14" s="43"/>
      <c r="HD14" s="43"/>
      <c r="HE14" s="43"/>
      <c r="HF14" s="43"/>
      <c r="HG14" s="43"/>
      <c r="HH14" s="43"/>
      <c r="HI14" s="43"/>
      <c r="HJ14" s="43"/>
      <c r="HK14" s="43"/>
      <c r="HL14" s="43"/>
      <c r="HM14" s="43"/>
      <c r="HN14" s="43"/>
      <c r="HO14" s="43"/>
      <c r="HP14" s="43"/>
      <c r="HQ14" s="43"/>
      <c r="HR14" s="43"/>
      <c r="HS14" s="43"/>
      <c r="HT14" s="43"/>
      <c r="HU14" s="43"/>
      <c r="HV14" s="43"/>
      <c r="HW14" s="43"/>
      <c r="HX14" s="43"/>
      <c r="HY14" s="43"/>
      <c r="HZ14" s="43"/>
      <c r="IA14" s="43"/>
      <c r="IB14" s="43"/>
      <c r="IC14" s="43"/>
      <c r="ID14" s="43"/>
      <c r="IE14" s="43"/>
      <c r="IF14" s="43"/>
      <c r="IG14" s="43"/>
      <c r="IH14" s="43"/>
      <c r="II14" s="43"/>
      <c r="IJ14" s="43"/>
      <c r="IK14" s="43"/>
      <c r="IL14" s="43"/>
      <c r="IM14" s="43"/>
      <c r="IN14" s="43"/>
      <c r="IO14" s="43"/>
      <c r="IP14" s="43"/>
      <c r="IQ14" s="43"/>
      <c r="IR14" s="43"/>
      <c r="IS14" s="43"/>
      <c r="IT14" s="43"/>
      <c r="IU14" s="43"/>
      <c r="IV14" s="43"/>
    </row>
    <row r="15" spans="1:256" s="23" customFormat="1" ht="12" customHeight="1">
      <c r="A15" s="908" t="s">
        <v>174</v>
      </c>
      <c r="B15" s="440"/>
      <c r="C15" s="440"/>
      <c r="D15" s="960">
        <v>0</v>
      </c>
      <c r="E15" s="960">
        <v>0</v>
      </c>
      <c r="F15" s="960">
        <v>0</v>
      </c>
      <c r="G15" s="960">
        <v>0</v>
      </c>
      <c r="H15" s="960">
        <v>0</v>
      </c>
      <c r="I15" s="960">
        <v>0</v>
      </c>
      <c r="J15" s="960">
        <v>0</v>
      </c>
      <c r="K15" s="960">
        <v>0</v>
      </c>
      <c r="L15" s="960">
        <v>0</v>
      </c>
      <c r="M15" s="960">
        <v>0</v>
      </c>
      <c r="N15" s="960">
        <v>0</v>
      </c>
      <c r="O15" s="960">
        <v>0</v>
      </c>
      <c r="P15" s="960">
        <v>0</v>
      </c>
      <c r="Q15" s="960">
        <v>0</v>
      </c>
      <c r="R15" s="960">
        <v>0</v>
      </c>
      <c r="S15" s="960">
        <v>0</v>
      </c>
      <c r="T15" s="960">
        <v>0</v>
      </c>
      <c r="U15" s="960">
        <v>0</v>
      </c>
      <c r="V15" s="960">
        <v>0</v>
      </c>
      <c r="W15" s="960">
        <v>0</v>
      </c>
      <c r="X15" s="960">
        <v>0</v>
      </c>
      <c r="Y15" s="960">
        <v>0</v>
      </c>
      <c r="Z15" s="960">
        <v>0</v>
      </c>
      <c r="AA15" s="960">
        <v>0</v>
      </c>
      <c r="AB15" s="961">
        <v>0</v>
      </c>
      <c r="AC15" s="179"/>
      <c r="AD15" s="179"/>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s="23" customFormat="1" ht="12" customHeight="1">
      <c r="A16" s="910"/>
      <c r="B16" s="179"/>
      <c r="C16" s="179"/>
      <c r="D16" s="419"/>
      <c r="E16" s="419"/>
      <c r="F16" s="419"/>
      <c r="G16" s="419"/>
      <c r="H16" s="419"/>
      <c r="I16" s="419"/>
      <c r="J16" s="419"/>
      <c r="K16" s="419"/>
      <c r="L16" s="419"/>
      <c r="M16" s="419"/>
      <c r="N16" s="419"/>
      <c r="O16" s="419"/>
      <c r="P16" s="419"/>
      <c r="Q16" s="419"/>
      <c r="R16" s="419"/>
      <c r="S16" s="419"/>
      <c r="T16" s="419"/>
      <c r="U16" s="419"/>
      <c r="V16" s="419"/>
      <c r="W16" s="419"/>
      <c r="X16" s="419"/>
      <c r="Y16" s="419"/>
      <c r="Z16" s="419"/>
      <c r="AA16" s="419"/>
      <c r="AB16" s="955"/>
      <c r="AC16" s="179"/>
      <c r="AD16" s="179"/>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3"/>
      <c r="IB16" s="43"/>
      <c r="IC16" s="43"/>
      <c r="ID16" s="43"/>
      <c r="IE16" s="43"/>
      <c r="IF16" s="43"/>
      <c r="IG16" s="43"/>
      <c r="IH16" s="43"/>
      <c r="II16" s="43"/>
      <c r="IJ16" s="43"/>
      <c r="IK16" s="43"/>
      <c r="IL16" s="43"/>
      <c r="IM16" s="43"/>
      <c r="IN16" s="43"/>
      <c r="IO16" s="43"/>
      <c r="IP16" s="43"/>
      <c r="IQ16" s="43"/>
      <c r="IR16" s="43"/>
      <c r="IS16" s="43"/>
      <c r="IT16" s="43"/>
      <c r="IU16" s="43"/>
      <c r="IV16" s="43"/>
    </row>
    <row r="17" spans="1:256" ht="12" customHeight="1">
      <c r="A17" s="962" t="s">
        <v>170</v>
      </c>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782"/>
      <c r="AC17" s="179"/>
      <c r="AD17" s="179"/>
    </row>
    <row r="18" spans="1:256" s="34" customFormat="1" ht="12" customHeight="1">
      <c r="A18" s="910" t="s">
        <v>92</v>
      </c>
      <c r="B18" s="447"/>
      <c r="C18" s="419"/>
      <c r="D18" s="419">
        <f>'Book Income Statement'!D69</f>
        <v>-3124.1949553443683</v>
      </c>
      <c r="E18" s="419">
        <f>'Book Income Statement'!E69</f>
        <v>5454.8448235856977</v>
      </c>
      <c r="F18" s="419">
        <f>'Book Income Statement'!F69</f>
        <v>5980.496999061761</v>
      </c>
      <c r="G18" s="419">
        <f>'Book Income Statement'!G69</f>
        <v>6385.4145589871887</v>
      </c>
      <c r="H18" s="419">
        <f>'Book Income Statement'!H69</f>
        <v>12664.464671588627</v>
      </c>
      <c r="I18" s="419">
        <f>'Book Income Statement'!I69</f>
        <v>17719.032153597749</v>
      </c>
      <c r="J18" s="419">
        <f>'Book Income Statement'!J69</f>
        <v>18758.569757962308</v>
      </c>
      <c r="K18" s="419">
        <f>'Book Income Statement'!K69</f>
        <v>19494.695852282857</v>
      </c>
      <c r="L18" s="419">
        <f>'Book Income Statement'!L69</f>
        <v>20860.114294226103</v>
      </c>
      <c r="M18" s="419">
        <f>'Book Income Statement'!M69</f>
        <v>21859.647409852532</v>
      </c>
      <c r="N18" s="419">
        <f>'Book Income Statement'!N69</f>
        <v>23716.208597593344</v>
      </c>
      <c r="O18" s="419">
        <f>'Book Income Statement'!O69</f>
        <v>23433.721756707746</v>
      </c>
      <c r="P18" s="419">
        <f>'Book Income Statement'!P69</f>
        <v>24781.006064335244</v>
      </c>
      <c r="Q18" s="419">
        <f>'Book Income Statement'!Q69</f>
        <v>25434.485683305422</v>
      </c>
      <c r="R18" s="419">
        <f>'Book Income Statement'!R69</f>
        <v>26074.4900180599</v>
      </c>
      <c r="S18" s="419">
        <f>'Book Income Statement'!S69</f>
        <v>26699.948162103687</v>
      </c>
      <c r="T18" s="419">
        <f>'Book Income Statement'!T69</f>
        <v>27343.435763799029</v>
      </c>
      <c r="U18" s="419">
        <f>'Book Income Statement'!U69</f>
        <v>28247.765908855381</v>
      </c>
      <c r="V18" s="419">
        <f>'Book Income Statement'!V69</f>
        <v>29238.351545870966</v>
      </c>
      <c r="W18" s="419">
        <f>'Book Income Statement'!W69</f>
        <v>30264.971849969341</v>
      </c>
      <c r="X18" s="419">
        <f>'Book Income Statement'!X69</f>
        <v>31350.548704860685</v>
      </c>
      <c r="Y18" s="419">
        <f>'Book Income Statement'!Y69</f>
        <v>0</v>
      </c>
      <c r="Z18" s="419">
        <f>'Book Income Statement'!Z69</f>
        <v>0</v>
      </c>
      <c r="AA18" s="419">
        <f>'Book Income Statement'!AA69</f>
        <v>0</v>
      </c>
      <c r="AB18" s="955">
        <f>'Book Income Statement'!AB69</f>
        <v>0</v>
      </c>
      <c r="AC18" s="419"/>
      <c r="AD18" s="419"/>
    </row>
    <row r="19" spans="1:256" s="34" customFormat="1" ht="12.75" customHeight="1">
      <c r="A19" s="910" t="s">
        <v>480</v>
      </c>
      <c r="B19" s="447"/>
      <c r="C19" s="419"/>
      <c r="D19" s="963">
        <f>-D15</f>
        <v>0</v>
      </c>
      <c r="E19" s="963">
        <f t="shared" ref="E19:AB19" si="3">-E15</f>
        <v>0</v>
      </c>
      <c r="F19" s="963">
        <f t="shared" si="3"/>
        <v>0</v>
      </c>
      <c r="G19" s="963">
        <f t="shared" si="3"/>
        <v>0</v>
      </c>
      <c r="H19" s="963">
        <f t="shared" si="3"/>
        <v>0</v>
      </c>
      <c r="I19" s="963">
        <f t="shared" si="3"/>
        <v>0</v>
      </c>
      <c r="J19" s="963">
        <f t="shared" si="3"/>
        <v>0</v>
      </c>
      <c r="K19" s="963">
        <f t="shared" si="3"/>
        <v>0</v>
      </c>
      <c r="L19" s="963">
        <f t="shared" si="3"/>
        <v>0</v>
      </c>
      <c r="M19" s="963">
        <f t="shared" si="3"/>
        <v>0</v>
      </c>
      <c r="N19" s="963">
        <f t="shared" si="3"/>
        <v>0</v>
      </c>
      <c r="O19" s="963">
        <f t="shared" si="3"/>
        <v>0</v>
      </c>
      <c r="P19" s="963">
        <f t="shared" si="3"/>
        <v>0</v>
      </c>
      <c r="Q19" s="963">
        <f t="shared" si="3"/>
        <v>0</v>
      </c>
      <c r="R19" s="963">
        <f t="shared" si="3"/>
        <v>0</v>
      </c>
      <c r="S19" s="963">
        <f t="shared" si="3"/>
        <v>0</v>
      </c>
      <c r="T19" s="963">
        <f t="shared" si="3"/>
        <v>0</v>
      </c>
      <c r="U19" s="963">
        <f t="shared" si="3"/>
        <v>0</v>
      </c>
      <c r="V19" s="963">
        <f t="shared" si="3"/>
        <v>0</v>
      </c>
      <c r="W19" s="963">
        <f t="shared" si="3"/>
        <v>0</v>
      </c>
      <c r="X19" s="963">
        <f t="shared" si="3"/>
        <v>0</v>
      </c>
      <c r="Y19" s="963">
        <f t="shared" si="3"/>
        <v>0</v>
      </c>
      <c r="Z19" s="963">
        <f t="shared" si="3"/>
        <v>0</v>
      </c>
      <c r="AA19" s="963">
        <f t="shared" si="3"/>
        <v>0</v>
      </c>
      <c r="AB19" s="964">
        <f t="shared" si="3"/>
        <v>0</v>
      </c>
      <c r="AC19" s="419"/>
      <c r="AD19" s="419"/>
    </row>
    <row r="20" spans="1:256" s="34" customFormat="1" ht="12.75" customHeight="1">
      <c r="A20" s="910" t="s">
        <v>481</v>
      </c>
      <c r="B20" s="447"/>
      <c r="C20" s="419"/>
      <c r="D20" s="419">
        <f t="shared" ref="D20:AB20" si="4">SUM(D18:D19)</f>
        <v>-3124.1949553443683</v>
      </c>
      <c r="E20" s="419">
        <f t="shared" si="4"/>
        <v>5454.8448235856977</v>
      </c>
      <c r="F20" s="419">
        <f t="shared" si="4"/>
        <v>5980.496999061761</v>
      </c>
      <c r="G20" s="419">
        <f t="shared" si="4"/>
        <v>6385.4145589871887</v>
      </c>
      <c r="H20" s="419">
        <f t="shared" si="4"/>
        <v>12664.464671588627</v>
      </c>
      <c r="I20" s="419">
        <f t="shared" si="4"/>
        <v>17719.032153597749</v>
      </c>
      <c r="J20" s="419">
        <f t="shared" si="4"/>
        <v>18758.569757962308</v>
      </c>
      <c r="K20" s="419">
        <f t="shared" si="4"/>
        <v>19494.695852282857</v>
      </c>
      <c r="L20" s="419">
        <f t="shared" si="4"/>
        <v>20860.114294226103</v>
      </c>
      <c r="M20" s="419">
        <f t="shared" si="4"/>
        <v>21859.647409852532</v>
      </c>
      <c r="N20" s="419">
        <f t="shared" si="4"/>
        <v>23716.208597593344</v>
      </c>
      <c r="O20" s="419">
        <f t="shared" si="4"/>
        <v>23433.721756707746</v>
      </c>
      <c r="P20" s="419">
        <f t="shared" si="4"/>
        <v>24781.006064335244</v>
      </c>
      <c r="Q20" s="419">
        <f t="shared" si="4"/>
        <v>25434.485683305422</v>
      </c>
      <c r="R20" s="419">
        <f t="shared" si="4"/>
        <v>26074.4900180599</v>
      </c>
      <c r="S20" s="419">
        <f t="shared" si="4"/>
        <v>26699.948162103687</v>
      </c>
      <c r="T20" s="419">
        <f t="shared" si="4"/>
        <v>27343.435763799029</v>
      </c>
      <c r="U20" s="419">
        <f t="shared" si="4"/>
        <v>28247.765908855381</v>
      </c>
      <c r="V20" s="419">
        <f t="shared" si="4"/>
        <v>29238.351545870966</v>
      </c>
      <c r="W20" s="419">
        <f t="shared" si="4"/>
        <v>30264.971849969341</v>
      </c>
      <c r="X20" s="419">
        <f t="shared" si="4"/>
        <v>31350.548704860685</v>
      </c>
      <c r="Y20" s="419">
        <f t="shared" si="4"/>
        <v>0</v>
      </c>
      <c r="Z20" s="419">
        <f t="shared" si="4"/>
        <v>0</v>
      </c>
      <c r="AA20" s="419">
        <f t="shared" si="4"/>
        <v>0</v>
      </c>
      <c r="AB20" s="955">
        <f t="shared" si="4"/>
        <v>0</v>
      </c>
      <c r="AC20" s="419"/>
      <c r="AD20" s="419"/>
    </row>
    <row r="21" spans="1:256" ht="12.75" customHeight="1">
      <c r="A21" s="910" t="s">
        <v>35</v>
      </c>
      <c r="B21" s="179"/>
      <c r="C21" s="420"/>
      <c r="D21" s="422">
        <f>'Book Income Statement'!D63</f>
        <v>2151.860133333334</v>
      </c>
      <c r="E21" s="422">
        <f>'Book Income Statement'!E63</f>
        <v>5201.96432</v>
      </c>
      <c r="F21" s="422">
        <f>'Book Income Statement'!F63</f>
        <v>5254.46432</v>
      </c>
      <c r="G21" s="422">
        <f>'Book Income Statement'!G63</f>
        <v>5254.46432</v>
      </c>
      <c r="H21" s="422">
        <f>'Book Income Statement'!H63</f>
        <v>5254.46432</v>
      </c>
      <c r="I21" s="422">
        <f>'Book Income Statement'!I63</f>
        <v>5002.78982</v>
      </c>
      <c r="J21" s="422">
        <f>'Book Income Statement'!J63</f>
        <v>4650.4455200000002</v>
      </c>
      <c r="K21" s="422">
        <f>'Book Income Statement'!K63</f>
        <v>4650.4455200000002</v>
      </c>
      <c r="L21" s="422">
        <f>'Book Income Statement'!L63</f>
        <v>4650.4455200000002</v>
      </c>
      <c r="M21" s="422">
        <f>'Book Income Statement'!M63</f>
        <v>4650.4455200000002</v>
      </c>
      <c r="N21" s="422">
        <f>'Book Income Statement'!N63</f>
        <v>4650.4455200000002</v>
      </c>
      <c r="O21" s="422">
        <f>'Book Income Statement'!O63</f>
        <v>4650.4455200000002</v>
      </c>
      <c r="P21" s="422">
        <f>'Book Income Statement'!P63</f>
        <v>4650.4455200000002</v>
      </c>
      <c r="Q21" s="422">
        <f>'Book Income Statement'!Q63</f>
        <v>4650.4455200000002</v>
      </c>
      <c r="R21" s="422">
        <f>'Book Income Statement'!R63</f>
        <v>4650.4455200000002</v>
      </c>
      <c r="S21" s="422">
        <f>'Book Income Statement'!S63</f>
        <v>4650.4455200000002</v>
      </c>
      <c r="T21" s="422">
        <f>'Book Income Statement'!T63</f>
        <v>4650.4455200000002</v>
      </c>
      <c r="U21" s="422">
        <f>'Book Income Statement'!U63</f>
        <v>4650.4455200000002</v>
      </c>
      <c r="V21" s="422">
        <f>'Book Income Statement'!V63</f>
        <v>4650.4455200000002</v>
      </c>
      <c r="W21" s="422">
        <f>'Book Income Statement'!W63</f>
        <v>4650.4455200000002</v>
      </c>
      <c r="X21" s="422">
        <f>'Book Income Statement'!X63</f>
        <v>4624.5496866666672</v>
      </c>
      <c r="Y21" s="422">
        <f>'Book Income Statement'!Y63</f>
        <v>0</v>
      </c>
      <c r="Z21" s="422">
        <f>'Book Income Statement'!Z63</f>
        <v>0</v>
      </c>
      <c r="AA21" s="422">
        <f>'Book Income Statement'!AA63</f>
        <v>0</v>
      </c>
      <c r="AB21" s="911">
        <f>'Book Income Statement'!AB63</f>
        <v>0</v>
      </c>
      <c r="AC21" s="422"/>
      <c r="AD21" s="422"/>
    </row>
    <row r="22" spans="1:256" s="23" customFormat="1" ht="15" customHeight="1">
      <c r="A22" s="910" t="s">
        <v>175</v>
      </c>
      <c r="B22" s="179"/>
      <c r="C22" s="179"/>
      <c r="D22" s="425">
        <f>IF(D3&lt;=ProjectLife,Depreciation!D30*-1,0)</f>
        <v>-7774.7295333333341</v>
      </c>
      <c r="E22" s="425">
        <f>IF(E3&lt;=ProjectLife,Depreciation!E30*-1,0)</f>
        <v>-15060.771280000001</v>
      </c>
      <c r="F22" s="425">
        <f>IF(F3&lt;=ProjectLife,Depreciation!F30*-1,0)</f>
        <v>-13771.311032000001</v>
      </c>
      <c r="G22" s="425">
        <f>IF(G3&lt;=ProjectLife,Depreciation!G30*-1,0)</f>
        <v>-12468.293968</v>
      </c>
      <c r="H22" s="425">
        <f>IF(H3&lt;=ProjectLife,Depreciation!H30*-1,0)</f>
        <v>-11288.231451199999</v>
      </c>
      <c r="I22" s="425">
        <f>IF(I3&lt;=ProjectLife,Depreciation!I30*-1,0)</f>
        <v>-9963.8546631999998</v>
      </c>
      <c r="J22" s="425">
        <f>IF(J3&lt;=ProjectLife,Depreciation!J30*-1,0)</f>
        <v>-9095.6978559999989</v>
      </c>
      <c r="K22" s="425">
        <f>IF(K3&lt;=ProjectLife,Depreciation!K30*-1,0)</f>
        <v>-9100.7921743999996</v>
      </c>
      <c r="L22" s="425">
        <f>IF(L3&lt;=ProjectLife,Depreciation!L30*-1,0)</f>
        <v>-9086.0978559999985</v>
      </c>
      <c r="M22" s="425">
        <f>IF(M3&lt;=ProjectLife,Depreciation!M30*-1,0)</f>
        <v>-9100.7921743999996</v>
      </c>
      <c r="N22" s="425">
        <f>IF(N3&lt;=ProjectLife,Depreciation!N30*-1,0)</f>
        <v>-9086.0978559999985</v>
      </c>
      <c r="O22" s="425">
        <f>IF(O3&lt;=ProjectLife,Depreciation!O30*-1,0)</f>
        <v>-9100.7921743999996</v>
      </c>
      <c r="P22" s="425">
        <f>IF(P3&lt;=ProjectLife,Depreciation!P30*-1,0)</f>
        <v>-9086.0978559999985</v>
      </c>
      <c r="Q22" s="425">
        <f>IF(Q3&lt;=ProjectLife,Depreciation!Q30*-1,0)</f>
        <v>-9100.7921743999996</v>
      </c>
      <c r="R22" s="425">
        <f>IF(R3&lt;=ProjectLife,Depreciation!R30*-1,0)</f>
        <v>-9086.0978559999985</v>
      </c>
      <c r="S22" s="425">
        <f>IF(S3&lt;=ProjectLife,Depreciation!S30*-1,0)</f>
        <v>-4662.4739279999994</v>
      </c>
      <c r="T22" s="425">
        <f>IF(T3&lt;=ProjectLife,Depreciation!T30*-1,0)</f>
        <v>-150.65</v>
      </c>
      <c r="U22" s="425">
        <f>IF(U3&lt;=ProjectLife,Depreciation!U30*-1,0)</f>
        <v>-62.150000000000006</v>
      </c>
      <c r="V22" s="425">
        <f>IF(V3&lt;=ProjectLife,Depreciation!V30*-1,0)</f>
        <v>-62.150000000000006</v>
      </c>
      <c r="W22" s="425">
        <f>IF(W3&lt;=ProjectLife,Depreciation!W30*-1,0)</f>
        <v>-62.150000000000006</v>
      </c>
      <c r="X22" s="425">
        <f>IF(X3&lt;=ProjectLife,Depreciation!X30*-1,0)</f>
        <v>0</v>
      </c>
      <c r="Y22" s="425">
        <f>IF(Y3&lt;=ProjectLife,Depreciation!Y30*-1,0)</f>
        <v>0</v>
      </c>
      <c r="Z22" s="425">
        <f>IF(Z3&lt;=ProjectLife,Depreciation!Z30*-1,0)</f>
        <v>0</v>
      </c>
      <c r="AA22" s="425">
        <f>IF(AA3&lt;=ProjectLife,Depreciation!AA30*-1,0)</f>
        <v>0</v>
      </c>
      <c r="AB22" s="965">
        <f>IF(AB3&lt;=ProjectLife,Depreciation!AB30*-1,0)</f>
        <v>0</v>
      </c>
      <c r="AC22" s="179"/>
      <c r="AD22" s="179"/>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s="23" customFormat="1" ht="12" customHeight="1">
      <c r="A23" s="908" t="s">
        <v>482</v>
      </c>
      <c r="B23" s="440"/>
      <c r="C23" s="440"/>
      <c r="D23" s="525">
        <f>SUM(D20:D22)</f>
        <v>-8747.0643553443679</v>
      </c>
      <c r="E23" s="525">
        <f t="shared" ref="E23:AB23" si="5">SUM(E20:E22)</f>
        <v>-4403.9621364143022</v>
      </c>
      <c r="F23" s="525">
        <f t="shared" si="5"/>
        <v>-2536.3497129382413</v>
      </c>
      <c r="G23" s="525">
        <f t="shared" si="5"/>
        <v>-828.41508901281122</v>
      </c>
      <c r="H23" s="525">
        <f t="shared" si="5"/>
        <v>6630.6975403886263</v>
      </c>
      <c r="I23" s="525">
        <f t="shared" si="5"/>
        <v>12757.967310397747</v>
      </c>
      <c r="J23" s="525">
        <f t="shared" si="5"/>
        <v>14313.317421962311</v>
      </c>
      <c r="K23" s="525">
        <f t="shared" si="5"/>
        <v>15044.349197882859</v>
      </c>
      <c r="L23" s="525">
        <f t="shared" si="5"/>
        <v>16424.461958226108</v>
      </c>
      <c r="M23" s="525">
        <f t="shared" si="5"/>
        <v>17409.300755452532</v>
      </c>
      <c r="N23" s="525">
        <f t="shared" si="5"/>
        <v>19280.556261593345</v>
      </c>
      <c r="O23" s="525">
        <f t="shared" si="5"/>
        <v>18983.375102307749</v>
      </c>
      <c r="P23" s="525">
        <f t="shared" si="5"/>
        <v>20345.353728335249</v>
      </c>
      <c r="Q23" s="525">
        <f t="shared" si="5"/>
        <v>20984.139028905425</v>
      </c>
      <c r="R23" s="525">
        <f t="shared" si="5"/>
        <v>21638.837682059901</v>
      </c>
      <c r="S23" s="525">
        <f t="shared" si="5"/>
        <v>26687.919754103688</v>
      </c>
      <c r="T23" s="525">
        <f t="shared" si="5"/>
        <v>31843.231283799028</v>
      </c>
      <c r="U23" s="525">
        <f t="shared" si="5"/>
        <v>32836.061428855377</v>
      </c>
      <c r="V23" s="525">
        <f t="shared" si="5"/>
        <v>33826.647065870966</v>
      </c>
      <c r="W23" s="525">
        <f t="shared" si="5"/>
        <v>34853.267369969341</v>
      </c>
      <c r="X23" s="525">
        <f t="shared" si="5"/>
        <v>35975.098391527354</v>
      </c>
      <c r="Y23" s="525">
        <f t="shared" si="5"/>
        <v>0</v>
      </c>
      <c r="Z23" s="525">
        <f t="shared" si="5"/>
        <v>0</v>
      </c>
      <c r="AA23" s="525">
        <f t="shared" si="5"/>
        <v>0</v>
      </c>
      <c r="AB23" s="966">
        <f t="shared" si="5"/>
        <v>0</v>
      </c>
      <c r="AC23" s="179"/>
      <c r="AD23" s="179"/>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12" customHeight="1">
      <c r="A24" s="910"/>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967"/>
      <c r="AC24" s="424"/>
      <c r="AD24" s="424"/>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row>
    <row r="25" spans="1:256" ht="12" customHeight="1">
      <c r="A25" s="910" t="s">
        <v>88</v>
      </c>
      <c r="B25" s="179"/>
      <c r="C25" s="426"/>
      <c r="D25" s="422">
        <f>D23</f>
        <v>-8747.0643553443679</v>
      </c>
      <c r="E25" s="422">
        <f t="shared" ref="E25:AB25" si="6">E23</f>
        <v>-4403.9621364143022</v>
      </c>
      <c r="F25" s="422">
        <f t="shared" si="6"/>
        <v>-2536.3497129382413</v>
      </c>
      <c r="G25" s="422">
        <f t="shared" si="6"/>
        <v>-828.41508901281122</v>
      </c>
      <c r="H25" s="422">
        <f t="shared" si="6"/>
        <v>6630.6975403886263</v>
      </c>
      <c r="I25" s="422">
        <f t="shared" si="6"/>
        <v>12757.967310397747</v>
      </c>
      <c r="J25" s="422">
        <f t="shared" si="6"/>
        <v>14313.317421962311</v>
      </c>
      <c r="K25" s="422">
        <f t="shared" si="6"/>
        <v>15044.349197882859</v>
      </c>
      <c r="L25" s="422">
        <f t="shared" si="6"/>
        <v>16424.461958226108</v>
      </c>
      <c r="M25" s="422">
        <f t="shared" si="6"/>
        <v>17409.300755452532</v>
      </c>
      <c r="N25" s="422">
        <f t="shared" si="6"/>
        <v>19280.556261593345</v>
      </c>
      <c r="O25" s="422">
        <f t="shared" si="6"/>
        <v>18983.375102307749</v>
      </c>
      <c r="P25" s="422">
        <f t="shared" si="6"/>
        <v>20345.353728335249</v>
      </c>
      <c r="Q25" s="422">
        <f t="shared" si="6"/>
        <v>20984.139028905425</v>
      </c>
      <c r="R25" s="422">
        <f t="shared" si="6"/>
        <v>21638.837682059901</v>
      </c>
      <c r="S25" s="422">
        <f t="shared" si="6"/>
        <v>26687.919754103688</v>
      </c>
      <c r="T25" s="422">
        <f t="shared" si="6"/>
        <v>31843.231283799028</v>
      </c>
      <c r="U25" s="422">
        <f t="shared" si="6"/>
        <v>32836.061428855377</v>
      </c>
      <c r="V25" s="422">
        <f t="shared" si="6"/>
        <v>33826.647065870966</v>
      </c>
      <c r="W25" s="422">
        <f t="shared" si="6"/>
        <v>34853.267369969341</v>
      </c>
      <c r="X25" s="422">
        <f t="shared" si="6"/>
        <v>35975.098391527354</v>
      </c>
      <c r="Y25" s="422">
        <f t="shared" si="6"/>
        <v>0</v>
      </c>
      <c r="Z25" s="422">
        <f t="shared" si="6"/>
        <v>0</v>
      </c>
      <c r="AA25" s="422">
        <f t="shared" si="6"/>
        <v>0</v>
      </c>
      <c r="AB25" s="911">
        <f t="shared" si="6"/>
        <v>0</v>
      </c>
      <c r="AC25" s="426"/>
      <c r="AD25" s="426"/>
    </row>
    <row r="26" spans="1:256" ht="12" customHeight="1">
      <c r="A26" s="910" t="s">
        <v>176</v>
      </c>
      <c r="B26" s="179"/>
      <c r="C26" s="179"/>
      <c r="D26" s="427">
        <f>IF(D$3&gt;'Project Assumptions'!$I$16,0,'Project Assumptions'!$N$64)</f>
        <v>0.05</v>
      </c>
      <c r="E26" s="427">
        <f>IF(E$3&gt;'Project Assumptions'!$I$16,0,'Project Assumptions'!$N$64)</f>
        <v>0.05</v>
      </c>
      <c r="F26" s="427">
        <f>IF(F$3&gt;'Project Assumptions'!$I$16,0,'Project Assumptions'!$N$64)</f>
        <v>0.05</v>
      </c>
      <c r="G26" s="427">
        <f>IF(G$3&gt;'Project Assumptions'!$I$16,0,'Project Assumptions'!$N$64)</f>
        <v>0.05</v>
      </c>
      <c r="H26" s="427">
        <f>IF(H$3&gt;'Project Assumptions'!$I$16,0,'Project Assumptions'!$N$64)</f>
        <v>0.05</v>
      </c>
      <c r="I26" s="427">
        <f>IF(I$3&gt;'Project Assumptions'!$I$16,0,'Project Assumptions'!$N$64)</f>
        <v>0.05</v>
      </c>
      <c r="J26" s="427">
        <f>IF(J$3&gt;'Project Assumptions'!$I$16,0,'Project Assumptions'!$N$64)</f>
        <v>0.05</v>
      </c>
      <c r="K26" s="427">
        <f>IF(K$3&gt;'Project Assumptions'!$I$16,0,'Project Assumptions'!$N$64)</f>
        <v>0.05</v>
      </c>
      <c r="L26" s="427">
        <f>IF(L$3&gt;'Project Assumptions'!$I$16,0,'Project Assumptions'!$N$64)</f>
        <v>0.05</v>
      </c>
      <c r="M26" s="427">
        <f>IF(M$3&gt;'Project Assumptions'!$I$16,0,'Project Assumptions'!$N$64)</f>
        <v>0.05</v>
      </c>
      <c r="N26" s="427">
        <f>IF(N$3&gt;'Project Assumptions'!$I$16,0,'Project Assumptions'!$N$64)</f>
        <v>0.05</v>
      </c>
      <c r="O26" s="427">
        <f>IF(O$3&gt;'Project Assumptions'!$I$16,0,'Project Assumptions'!$N$64)</f>
        <v>0.05</v>
      </c>
      <c r="P26" s="427">
        <f>IF(P$3&gt;'Project Assumptions'!$I$16,0,'Project Assumptions'!$N$64)</f>
        <v>0.05</v>
      </c>
      <c r="Q26" s="427">
        <f>IF(Q$3&gt;'Project Assumptions'!$I$16,0,'Project Assumptions'!$N$64)</f>
        <v>0.05</v>
      </c>
      <c r="R26" s="427">
        <f>IF(R$3&gt;'Project Assumptions'!$I$16,0,'Project Assumptions'!$N$64)</f>
        <v>0.05</v>
      </c>
      <c r="S26" s="427">
        <f>IF(S$3&gt;'Project Assumptions'!$I$16,0,'Project Assumptions'!$N$64)</f>
        <v>0.05</v>
      </c>
      <c r="T26" s="427">
        <f>IF(T$3&gt;'Project Assumptions'!$I$16,0,'Project Assumptions'!$N$64)</f>
        <v>0.05</v>
      </c>
      <c r="U26" s="427">
        <f>IF(U$3&gt;'Project Assumptions'!$I$16,0,'Project Assumptions'!$N$64)</f>
        <v>0.05</v>
      </c>
      <c r="V26" s="427">
        <f>IF(V$3&gt;'Project Assumptions'!$I$16,0,'Project Assumptions'!$N$64)</f>
        <v>0.05</v>
      </c>
      <c r="W26" s="427">
        <f>IF(W$3&gt;'Project Assumptions'!$I$16,0,'Project Assumptions'!$N$64)</f>
        <v>0.05</v>
      </c>
      <c r="X26" s="427">
        <f>IF(X$3&gt;'Project Assumptions'!$I$16+1,0,'Project Assumptions'!$N$64)</f>
        <v>0.05</v>
      </c>
      <c r="Y26" s="427">
        <f>IF(Y$3&gt;'Project Assumptions'!$I$16,0,'Project Assumptions'!$N$64)</f>
        <v>0</v>
      </c>
      <c r="Z26" s="427">
        <f>IF(Z$3&gt;'Project Assumptions'!$I$16,0,'Project Assumptions'!$N$64)</f>
        <v>0</v>
      </c>
      <c r="AA26" s="427">
        <f>IF(AA$3&gt;'Project Assumptions'!$I$16,0,'Project Assumptions'!$N$64)</f>
        <v>0</v>
      </c>
      <c r="AB26" s="956">
        <f>IF(AB$3&gt;'Project Assumptions'!$I$16,0,'Project Assumptions'!$N$64)</f>
        <v>0</v>
      </c>
      <c r="AC26" s="179"/>
      <c r="AD26" s="424"/>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6" s="34" customFormat="1" ht="12" customHeight="1">
      <c r="A27" s="910" t="s">
        <v>168</v>
      </c>
      <c r="B27" s="447"/>
      <c r="C27" s="419"/>
      <c r="D27" s="419">
        <f>D25*D26</f>
        <v>-437.35321776721844</v>
      </c>
      <c r="E27" s="419">
        <f t="shared" ref="E27:AB27" si="7">E25*E26</f>
        <v>-220.19810682071511</v>
      </c>
      <c r="F27" s="419">
        <f t="shared" si="7"/>
        <v>-126.81748564691208</v>
      </c>
      <c r="G27" s="419">
        <f t="shared" si="7"/>
        <v>-41.420754450640565</v>
      </c>
      <c r="H27" s="419">
        <f t="shared" si="7"/>
        <v>331.53487701943135</v>
      </c>
      <c r="I27" s="419">
        <f t="shared" si="7"/>
        <v>637.89836551988742</v>
      </c>
      <c r="J27" s="419">
        <f t="shared" si="7"/>
        <v>715.66587109811553</v>
      </c>
      <c r="K27" s="419">
        <f t="shared" si="7"/>
        <v>752.21745989414296</v>
      </c>
      <c r="L27" s="419">
        <f t="shared" si="7"/>
        <v>821.22309791130544</v>
      </c>
      <c r="M27" s="419">
        <f t="shared" si="7"/>
        <v>870.4650377726266</v>
      </c>
      <c r="N27" s="419">
        <f t="shared" si="7"/>
        <v>964.02781307966734</v>
      </c>
      <c r="O27" s="419">
        <f t="shared" si="7"/>
        <v>949.16875511538751</v>
      </c>
      <c r="P27" s="419">
        <f t="shared" si="7"/>
        <v>1017.2676864167624</v>
      </c>
      <c r="Q27" s="419">
        <f t="shared" si="7"/>
        <v>1049.2069514452712</v>
      </c>
      <c r="R27" s="419">
        <f t="shared" si="7"/>
        <v>1081.9418841029951</v>
      </c>
      <c r="S27" s="419">
        <f t="shared" si="7"/>
        <v>1334.3959877051846</v>
      </c>
      <c r="T27" s="419">
        <f t="shared" si="7"/>
        <v>1592.1615641899516</v>
      </c>
      <c r="U27" s="419">
        <f t="shared" si="7"/>
        <v>1641.8030714427689</v>
      </c>
      <c r="V27" s="419">
        <f t="shared" si="7"/>
        <v>1691.3323532935483</v>
      </c>
      <c r="W27" s="419">
        <f t="shared" si="7"/>
        <v>1742.6633684984672</v>
      </c>
      <c r="X27" s="419">
        <f t="shared" si="7"/>
        <v>1798.7549195763677</v>
      </c>
      <c r="Y27" s="419">
        <f t="shared" si="7"/>
        <v>0</v>
      </c>
      <c r="Z27" s="419">
        <f t="shared" si="7"/>
        <v>0</v>
      </c>
      <c r="AA27" s="419">
        <f t="shared" si="7"/>
        <v>0</v>
      </c>
      <c r="AB27" s="955">
        <f t="shared" si="7"/>
        <v>0</v>
      </c>
      <c r="AC27" s="419"/>
      <c r="AD27" s="419"/>
    </row>
    <row r="28" spans="1:256" s="34" customFormat="1" ht="12" customHeight="1">
      <c r="A28" s="910"/>
      <c r="B28" s="447"/>
      <c r="C28" s="419"/>
      <c r="D28" s="419"/>
      <c r="E28" s="419"/>
      <c r="F28" s="419"/>
      <c r="G28" s="419"/>
      <c r="H28" s="419"/>
      <c r="I28" s="419"/>
      <c r="J28" s="419"/>
      <c r="K28" s="419"/>
      <c r="L28" s="419"/>
      <c r="M28" s="419"/>
      <c r="N28" s="419"/>
      <c r="O28" s="419"/>
      <c r="P28" s="419"/>
      <c r="Q28" s="419"/>
      <c r="R28" s="419"/>
      <c r="S28" s="419"/>
      <c r="T28" s="419"/>
      <c r="U28" s="419"/>
      <c r="V28" s="419"/>
      <c r="W28" s="419"/>
      <c r="X28" s="419"/>
      <c r="Y28" s="419"/>
      <c r="Z28" s="419"/>
      <c r="AA28" s="419"/>
      <c r="AB28" s="955"/>
      <c r="AC28" s="419"/>
      <c r="AD28" s="419"/>
    </row>
    <row r="29" spans="1:256" s="34" customFormat="1" ht="12" customHeight="1">
      <c r="A29" s="910" t="s">
        <v>473</v>
      </c>
      <c r="B29" s="447"/>
      <c r="C29" s="419"/>
      <c r="D29" s="521">
        <f t="shared" ref="D29:J29" si="8">C33</f>
        <v>0</v>
      </c>
      <c r="E29" s="521">
        <f t="shared" si="8"/>
        <v>437.35321776721844</v>
      </c>
      <c r="F29" s="521">
        <f t="shared" si="8"/>
        <v>657.55132458793355</v>
      </c>
      <c r="G29" s="521">
        <f t="shared" si="8"/>
        <v>784.36881023484557</v>
      </c>
      <c r="H29" s="521">
        <f t="shared" si="8"/>
        <v>825.78956468548608</v>
      </c>
      <c r="I29" s="521">
        <f t="shared" si="8"/>
        <v>494.25468766605474</v>
      </c>
      <c r="J29" s="521">
        <f t="shared" si="8"/>
        <v>0</v>
      </c>
      <c r="K29" s="521">
        <f t="shared" ref="K29:AB29" si="9">J33</f>
        <v>0</v>
      </c>
      <c r="L29" s="521">
        <f t="shared" si="9"/>
        <v>0</v>
      </c>
      <c r="M29" s="521">
        <f t="shared" si="9"/>
        <v>0</v>
      </c>
      <c r="N29" s="521">
        <f t="shared" si="9"/>
        <v>0</v>
      </c>
      <c r="O29" s="521">
        <f t="shared" si="9"/>
        <v>0</v>
      </c>
      <c r="P29" s="521">
        <f t="shared" si="9"/>
        <v>0</v>
      </c>
      <c r="Q29" s="521">
        <f t="shared" si="9"/>
        <v>0</v>
      </c>
      <c r="R29" s="521">
        <f t="shared" si="9"/>
        <v>0</v>
      </c>
      <c r="S29" s="521">
        <f t="shared" si="9"/>
        <v>0</v>
      </c>
      <c r="T29" s="521">
        <f t="shared" si="9"/>
        <v>0</v>
      </c>
      <c r="U29" s="521">
        <f t="shared" si="9"/>
        <v>0</v>
      </c>
      <c r="V29" s="521">
        <f t="shared" si="9"/>
        <v>0</v>
      </c>
      <c r="W29" s="521">
        <f t="shared" si="9"/>
        <v>0</v>
      </c>
      <c r="X29" s="521">
        <f t="shared" si="9"/>
        <v>0</v>
      </c>
      <c r="Y29" s="521">
        <f t="shared" si="9"/>
        <v>0</v>
      </c>
      <c r="Z29" s="521">
        <f t="shared" si="9"/>
        <v>0</v>
      </c>
      <c r="AA29" s="521">
        <f t="shared" si="9"/>
        <v>0</v>
      </c>
      <c r="AB29" s="968">
        <f t="shared" si="9"/>
        <v>0</v>
      </c>
      <c r="AC29" s="419"/>
      <c r="AD29" s="419"/>
    </row>
    <row r="30" spans="1:256" s="34" customFormat="1" ht="12" customHeight="1">
      <c r="A30" s="910" t="s">
        <v>472</v>
      </c>
      <c r="B30" s="447"/>
      <c r="C30" s="419"/>
      <c r="D30" s="521">
        <f t="shared" ref="D30:AB30" si="10">IF(D3&gt;ProjectLife,0,IF(D27&lt;0,-D27,0))</f>
        <v>437.35321776721844</v>
      </c>
      <c r="E30" s="521">
        <f t="shared" si="10"/>
        <v>220.19810682071511</v>
      </c>
      <c r="F30" s="521">
        <f t="shared" si="10"/>
        <v>126.81748564691208</v>
      </c>
      <c r="G30" s="521">
        <f t="shared" si="10"/>
        <v>41.420754450640565</v>
      </c>
      <c r="H30" s="521">
        <f t="shared" si="10"/>
        <v>0</v>
      </c>
      <c r="I30" s="521">
        <f t="shared" si="10"/>
        <v>0</v>
      </c>
      <c r="J30" s="521">
        <f t="shared" si="10"/>
        <v>0</v>
      </c>
      <c r="K30" s="521">
        <f t="shared" si="10"/>
        <v>0</v>
      </c>
      <c r="L30" s="521">
        <f t="shared" si="10"/>
        <v>0</v>
      </c>
      <c r="M30" s="521">
        <f t="shared" si="10"/>
        <v>0</v>
      </c>
      <c r="N30" s="521">
        <f t="shared" si="10"/>
        <v>0</v>
      </c>
      <c r="O30" s="521">
        <f t="shared" si="10"/>
        <v>0</v>
      </c>
      <c r="P30" s="521">
        <f t="shared" si="10"/>
        <v>0</v>
      </c>
      <c r="Q30" s="521">
        <f t="shared" si="10"/>
        <v>0</v>
      </c>
      <c r="R30" s="521">
        <f t="shared" si="10"/>
        <v>0</v>
      </c>
      <c r="S30" s="521">
        <f t="shared" si="10"/>
        <v>0</v>
      </c>
      <c r="T30" s="521">
        <f t="shared" si="10"/>
        <v>0</v>
      </c>
      <c r="U30" s="521">
        <f t="shared" si="10"/>
        <v>0</v>
      </c>
      <c r="V30" s="521">
        <f t="shared" si="10"/>
        <v>0</v>
      </c>
      <c r="W30" s="521">
        <f t="shared" si="10"/>
        <v>0</v>
      </c>
      <c r="X30" s="521">
        <f t="shared" si="10"/>
        <v>0</v>
      </c>
      <c r="Y30" s="521">
        <f t="shared" si="10"/>
        <v>0</v>
      </c>
      <c r="Z30" s="521">
        <f t="shared" si="10"/>
        <v>0</v>
      </c>
      <c r="AA30" s="521">
        <f t="shared" si="10"/>
        <v>0</v>
      </c>
      <c r="AB30" s="968">
        <f t="shared" si="10"/>
        <v>0</v>
      </c>
      <c r="AC30" s="419"/>
      <c r="AD30" s="419"/>
    </row>
    <row r="31" spans="1:256" s="34" customFormat="1" ht="12" customHeight="1">
      <c r="A31" s="779" t="s">
        <v>470</v>
      </c>
      <c r="B31" s="645"/>
      <c r="C31" s="969">
        <v>5</v>
      </c>
      <c r="D31" s="518">
        <v>0</v>
      </c>
      <c r="E31" s="519">
        <v>0</v>
      </c>
      <c r="F31" s="519">
        <v>0</v>
      </c>
      <c r="G31" s="519">
        <v>0</v>
      </c>
      <c r="H31" s="519">
        <v>0</v>
      </c>
      <c r="I31" s="520">
        <v>0</v>
      </c>
      <c r="J31" s="423">
        <f>IF(D30&gt;(SUM(E32:I32)+SUM(D31:I31))*-1,D30-(SUM(D32:I32)+SUM(D31:I31))*-1,0)</f>
        <v>0</v>
      </c>
      <c r="K31" s="423">
        <f t="shared" ref="K31:AB31" si="11">IF(E30&gt;(SUM(F32:J32)+SUM(E31:J31))*-1,E30-(SUM(E32:J32)+SUM(E31:J31))*-1,0)</f>
        <v>0</v>
      </c>
      <c r="L31" s="423">
        <f t="shared" si="11"/>
        <v>0</v>
      </c>
      <c r="M31" s="423">
        <f t="shared" si="11"/>
        <v>0</v>
      </c>
      <c r="N31" s="423">
        <f t="shared" si="11"/>
        <v>0</v>
      </c>
      <c r="O31" s="423">
        <f t="shared" si="11"/>
        <v>0</v>
      </c>
      <c r="P31" s="423">
        <f t="shared" si="11"/>
        <v>0</v>
      </c>
      <c r="Q31" s="423">
        <f t="shared" si="11"/>
        <v>0</v>
      </c>
      <c r="R31" s="423">
        <f t="shared" si="11"/>
        <v>0</v>
      </c>
      <c r="S31" s="423">
        <f t="shared" si="11"/>
        <v>0</v>
      </c>
      <c r="T31" s="423">
        <f t="shared" si="11"/>
        <v>0</v>
      </c>
      <c r="U31" s="423">
        <f t="shared" si="11"/>
        <v>0</v>
      </c>
      <c r="V31" s="423">
        <f t="shared" si="11"/>
        <v>0</v>
      </c>
      <c r="W31" s="423">
        <f t="shared" si="11"/>
        <v>0</v>
      </c>
      <c r="X31" s="423">
        <f t="shared" si="11"/>
        <v>0</v>
      </c>
      <c r="Y31" s="423">
        <f t="shared" si="11"/>
        <v>0</v>
      </c>
      <c r="Z31" s="423">
        <f t="shared" si="11"/>
        <v>0</v>
      </c>
      <c r="AA31" s="423">
        <f t="shared" si="11"/>
        <v>0</v>
      </c>
      <c r="AB31" s="912">
        <f t="shared" si="11"/>
        <v>0</v>
      </c>
      <c r="AC31" s="419"/>
      <c r="AD31" s="419"/>
    </row>
    <row r="32" spans="1:256" s="34" customFormat="1" ht="12" customHeight="1">
      <c r="A32" s="779" t="s">
        <v>91</v>
      </c>
      <c r="B32" s="645"/>
      <c r="C32" s="179"/>
      <c r="D32" s="970">
        <f>IF('Project Assumptions'!$C$56="No",0,IF(D3&lt;='Project Assumptions'!$C$57,IF(D27&lt;0,0,IF(D29&gt;D27,-D27,-D29)),0))</f>
        <v>0</v>
      </c>
      <c r="E32" s="970">
        <f>IF('Project Assumptions'!$C$56="No",0,IF(E3&lt;='Project Assumptions'!$C$57,IF(E27&lt;0,0,IF(E29&gt;E27,-E27,-E29)),0))</f>
        <v>0</v>
      </c>
      <c r="F32" s="970">
        <f>IF('Project Assumptions'!$C$56="No",0,IF(F3&lt;='Project Assumptions'!$C$57,IF(F27&lt;0,0,IF(F29&gt;F27,-F27,-F29)),0))</f>
        <v>0</v>
      </c>
      <c r="G32" s="970">
        <f>IF('Project Assumptions'!$C$56="No",0,IF(G3&lt;='Project Assumptions'!$C$57,IF(G27&lt;0,0,IF(G29&gt;G27,-G27,-G29)),0))</f>
        <v>0</v>
      </c>
      <c r="H32" s="970">
        <f>IF('Project Assumptions'!$C$56="No",0,IF(H3&lt;='Project Assumptions'!$C$57,IF(H27&lt;0,0,IF(H29&gt;H27,-H27,-H29)),0))</f>
        <v>-331.53487701943135</v>
      </c>
      <c r="I32" s="970">
        <f>IF('Project Assumptions'!$C$56="No",0,IF(I3&lt;='Project Assumptions'!$C$57,IF(I27&lt;0,0,IF(I29&gt;I27,-I27,-I29)),0))</f>
        <v>-494.25468766605474</v>
      </c>
      <c r="J32" s="970">
        <f>IF('Project Assumptions'!$C$56="No",0,IF(J3&lt;='Project Assumptions'!$C$57,IF(J27&lt;0,0,IF(J29&gt;J27,-J27,-J29)),0))</f>
        <v>0</v>
      </c>
      <c r="K32" s="970">
        <f>IF('Project Assumptions'!$C$56="No",0,IF(K3&lt;='Project Assumptions'!$C$57,IF(K27&lt;0,0,IF(K29&gt;K27,-K27,-K29)),0))</f>
        <v>0</v>
      </c>
      <c r="L32" s="970">
        <f>IF('Project Assumptions'!$C$56="No",0,IF(L3&lt;='Project Assumptions'!$C$57,IF(L27&lt;0,0,IF(L29&gt;L27,-L27,-L29)),0))</f>
        <v>0</v>
      </c>
      <c r="M32" s="970">
        <f>IF('Project Assumptions'!$C$56="No",0,IF(M3&lt;='Project Assumptions'!$C$57,IF(M27&lt;0,0,IF(M29&gt;M27,-M27,-M29)),0))</f>
        <v>0</v>
      </c>
      <c r="N32" s="970">
        <f>IF('Project Assumptions'!$C$56="No",0,IF(N3&lt;='Project Assumptions'!$C$57,IF(N27&lt;0,0,IF(N29&gt;N27,-N27,-N29)),0))</f>
        <v>0</v>
      </c>
      <c r="O32" s="970">
        <f>IF('Project Assumptions'!$C$56="No",0,IF(O3&lt;='Project Assumptions'!$C$57,IF(O27&lt;0,0,IF(O29&gt;O27,-O27,-O29)),0))</f>
        <v>0</v>
      </c>
      <c r="P32" s="970">
        <f>IF('Project Assumptions'!$C$56="No",0,IF(P3&lt;='Project Assumptions'!$C$57,IF(P27&lt;0,0,IF(P29&gt;P27,-P27,-P29)),0))</f>
        <v>0</v>
      </c>
      <c r="Q32" s="970">
        <f>IF('Project Assumptions'!$C$56="No",0,IF(Q3&lt;='Project Assumptions'!$C$57,IF(Q27&lt;0,0,IF(Q29&gt;Q27,-Q27,-Q29)),0))</f>
        <v>0</v>
      </c>
      <c r="R32" s="970">
        <f>IF('Project Assumptions'!$C$56="No",0,IF(R3&lt;='Project Assumptions'!$C$57,IF(R27&lt;0,0,IF(R29&gt;R27,-R27,-R29)),0))</f>
        <v>0</v>
      </c>
      <c r="S32" s="970">
        <f>IF('Project Assumptions'!$C$56="No",0,IF(S3&lt;='Project Assumptions'!$C$57,IF(S27&lt;0,0,IF(S29&gt;S27,-S27,-S29)),0))</f>
        <v>0</v>
      </c>
      <c r="T32" s="970">
        <f>IF('Project Assumptions'!$C$56="No",0,IF(T3&lt;='Project Assumptions'!$C$57,IF(T27&lt;0,0,IF(T29&gt;T27,-T27,-T29)),0))</f>
        <v>0</v>
      </c>
      <c r="U32" s="970">
        <f>IF('Project Assumptions'!$C$56="No",0,IF(U3&lt;='Project Assumptions'!$C$57,IF(U27&lt;0,0,IF(U29&gt;U27,-U27,-U29)),0))</f>
        <v>0</v>
      </c>
      <c r="V32" s="970">
        <f>IF('Project Assumptions'!$C$56="No",0,IF(V3&lt;='Project Assumptions'!$C$57,IF(V27&lt;0,0,IF(V29&gt;V27,-V27,-V29)),0))</f>
        <v>0</v>
      </c>
      <c r="W32" s="970">
        <f>IF('Project Assumptions'!$C$56="No",0,IF(W3&lt;='Project Assumptions'!$C$57,IF(W27&lt;0,0,IF(W29&gt;W27,-W27,-W29)),0))</f>
        <v>0</v>
      </c>
      <c r="X32" s="970">
        <f>IF('Project Assumptions'!$C$56="No",0,IF(X3&lt;='Project Assumptions'!$C$57,IF(X27&lt;0,0,IF(X29&gt;X27,-X27,-X29)),0))</f>
        <v>0</v>
      </c>
      <c r="Y32" s="970">
        <f>IF('Project Assumptions'!$C$56="No",0,IF(Y3&lt;='Project Assumptions'!$C$57,IF(Y27&lt;0,0,IF(Y29&gt;Y27,-Y27,-Y29)),0))</f>
        <v>0</v>
      </c>
      <c r="Z32" s="970">
        <f>IF('Project Assumptions'!$C$56="No",0,IF(Z3&lt;='Project Assumptions'!$C$57,IF(Z27&lt;0,0,IF(Z29&gt;Z27,-Z27,-Z29)),0))</f>
        <v>0</v>
      </c>
      <c r="AA32" s="970">
        <f>IF('Project Assumptions'!$C$56="No",0,IF(AA3&lt;='Project Assumptions'!$C$57,IF(AA27&lt;0,0,IF(AA29&gt;AA27,-AA27,-AA29)),0))</f>
        <v>0</v>
      </c>
      <c r="AB32" s="971">
        <f>IF('Project Assumptions'!$C$56="No",0,IF(AB3&lt;='Project Assumptions'!$C$57,IF(AB27&lt;0,0,IF(AB29&gt;AB27,-AB27,-AB29)),0))</f>
        <v>0</v>
      </c>
      <c r="AC32" s="419"/>
      <c r="AD32" s="419"/>
    </row>
    <row r="33" spans="1:256" s="34" customFormat="1" ht="12" customHeight="1">
      <c r="A33" s="779" t="s">
        <v>474</v>
      </c>
      <c r="B33" s="645"/>
      <c r="C33" s="179"/>
      <c r="D33" s="970">
        <f t="shared" ref="D33:AB33" si="12">SUM(D29:D32)</f>
        <v>437.35321776721844</v>
      </c>
      <c r="E33" s="970">
        <f t="shared" si="12"/>
        <v>657.55132458793355</v>
      </c>
      <c r="F33" s="970">
        <f t="shared" si="12"/>
        <v>784.36881023484557</v>
      </c>
      <c r="G33" s="970">
        <f t="shared" si="12"/>
        <v>825.78956468548608</v>
      </c>
      <c r="H33" s="970">
        <f t="shared" si="12"/>
        <v>494.25468766605474</v>
      </c>
      <c r="I33" s="970">
        <f t="shared" si="12"/>
        <v>0</v>
      </c>
      <c r="J33" s="970">
        <f t="shared" si="12"/>
        <v>0</v>
      </c>
      <c r="K33" s="970">
        <f t="shared" si="12"/>
        <v>0</v>
      </c>
      <c r="L33" s="970">
        <f t="shared" si="12"/>
        <v>0</v>
      </c>
      <c r="M33" s="970">
        <f t="shared" si="12"/>
        <v>0</v>
      </c>
      <c r="N33" s="970">
        <f t="shared" si="12"/>
        <v>0</v>
      </c>
      <c r="O33" s="970">
        <f t="shared" si="12"/>
        <v>0</v>
      </c>
      <c r="P33" s="970">
        <f t="shared" si="12"/>
        <v>0</v>
      </c>
      <c r="Q33" s="970">
        <f t="shared" si="12"/>
        <v>0</v>
      </c>
      <c r="R33" s="970">
        <f t="shared" si="12"/>
        <v>0</v>
      </c>
      <c r="S33" s="970">
        <f t="shared" si="12"/>
        <v>0</v>
      </c>
      <c r="T33" s="970">
        <f t="shared" si="12"/>
        <v>0</v>
      </c>
      <c r="U33" s="970">
        <f t="shared" si="12"/>
        <v>0</v>
      </c>
      <c r="V33" s="970">
        <f t="shared" si="12"/>
        <v>0</v>
      </c>
      <c r="W33" s="970">
        <f t="shared" si="12"/>
        <v>0</v>
      </c>
      <c r="X33" s="970">
        <f t="shared" si="12"/>
        <v>0</v>
      </c>
      <c r="Y33" s="970">
        <f t="shared" si="12"/>
        <v>0</v>
      </c>
      <c r="Z33" s="970">
        <f t="shared" si="12"/>
        <v>0</v>
      </c>
      <c r="AA33" s="970">
        <f t="shared" si="12"/>
        <v>0</v>
      </c>
      <c r="AB33" s="971">
        <f t="shared" si="12"/>
        <v>0</v>
      </c>
      <c r="AC33" s="419"/>
      <c r="AD33" s="419"/>
    </row>
    <row r="34" spans="1:256" s="34" customFormat="1" ht="12" customHeight="1">
      <c r="A34" s="779"/>
      <c r="B34" s="645"/>
      <c r="C34" s="179"/>
      <c r="D34" s="423"/>
      <c r="E34" s="423"/>
      <c r="F34" s="423"/>
      <c r="G34" s="423"/>
      <c r="H34" s="423"/>
      <c r="I34" s="423"/>
      <c r="J34" s="423"/>
      <c r="K34" s="423"/>
      <c r="L34" s="423"/>
      <c r="M34" s="423"/>
      <c r="N34" s="423"/>
      <c r="O34" s="423"/>
      <c r="P34" s="423"/>
      <c r="Q34" s="423"/>
      <c r="R34" s="423"/>
      <c r="S34" s="423"/>
      <c r="T34" s="423"/>
      <c r="U34" s="423"/>
      <c r="V34" s="423"/>
      <c r="W34" s="423"/>
      <c r="X34" s="423"/>
      <c r="Y34" s="423"/>
      <c r="Z34" s="423"/>
      <c r="AA34" s="423"/>
      <c r="AB34" s="912"/>
      <c r="AC34" s="419"/>
      <c r="AD34" s="419"/>
    </row>
    <row r="35" spans="1:256" s="34" customFormat="1" ht="12" customHeight="1">
      <c r="A35" s="795" t="s">
        <v>471</v>
      </c>
      <c r="B35" s="645"/>
      <c r="C35" s="440"/>
      <c r="D35" s="972">
        <f>IF(AND('Project Assumptions'!$C$56="No",D27&lt;0),0,IF(AND('Project Assumptions'!$C$56="No",D27&gt;0),D27,IF(D27&lt;0,0,(D27+D32))))</f>
        <v>0</v>
      </c>
      <c r="E35" s="972">
        <f>IF(AND('Project Assumptions'!$C$56="No",E27&lt;0),0,IF(AND('Project Assumptions'!$C$56="No",E27&gt;0),E27,IF(E27&lt;0,0,(E27+E32))))</f>
        <v>0</v>
      </c>
      <c r="F35" s="972">
        <f>IF(AND('Project Assumptions'!$C$56="No",F27&lt;0),0,IF(AND('Project Assumptions'!$C$56="No",F27&gt;0),F27,IF(F27&lt;0,0,(F27+F32))))</f>
        <v>0</v>
      </c>
      <c r="G35" s="972">
        <f>IF(AND('Project Assumptions'!$C$56="No",G27&lt;0),0,IF(AND('Project Assumptions'!$C$56="No",G27&gt;0),G27,IF(G27&lt;0,0,(G27+G32))))</f>
        <v>0</v>
      </c>
      <c r="H35" s="972">
        <f>IF(AND('Project Assumptions'!$C$56="No",H27&lt;0),0,IF(AND('Project Assumptions'!$C$56="No",H27&gt;0),H27,IF(H27&lt;0,0,(H27+H32))))</f>
        <v>0</v>
      </c>
      <c r="I35" s="972">
        <f>IF(AND('Project Assumptions'!$C$56="No",I27&lt;0),0,IF(AND('Project Assumptions'!$C$56="No",I27&gt;0),I27,IF(I27&lt;0,0,(I27+I32))))</f>
        <v>143.64367785383268</v>
      </c>
      <c r="J35" s="972">
        <f>IF(AND('Project Assumptions'!$C$56="No",J27&lt;0),0,IF(AND('Project Assumptions'!$C$56="No",J27&gt;0),J27,IF(J27&lt;0,0,(J27+J32))))</f>
        <v>715.66587109811553</v>
      </c>
      <c r="K35" s="972">
        <f>IF(AND('Project Assumptions'!$C$56="No",K27&lt;0),0,IF(AND('Project Assumptions'!$C$56="No",K27&gt;0),K27,IF(K27&lt;0,0,(K27+K32))))</f>
        <v>752.21745989414296</v>
      </c>
      <c r="L35" s="972">
        <f>IF(AND('Project Assumptions'!$C$56="No",L27&lt;0),0,IF(AND('Project Assumptions'!$C$56="No",L27&gt;0),L27,IF(L27&lt;0,0,(L27+L32))))</f>
        <v>821.22309791130544</v>
      </c>
      <c r="M35" s="972">
        <f>IF(AND('Project Assumptions'!$C$56="No",M27&lt;0),0,IF(AND('Project Assumptions'!$C$56="No",M27&gt;0),M27,IF(M27&lt;0,0,(M27+M32))))</f>
        <v>870.4650377726266</v>
      </c>
      <c r="N35" s="972">
        <f>IF(AND('Project Assumptions'!$C$56="No",N27&lt;0),0,IF(AND('Project Assumptions'!$C$56="No",N27&gt;0),N27,IF(N27&lt;0,0,(N27+N32))))</f>
        <v>964.02781307966734</v>
      </c>
      <c r="O35" s="972">
        <f>IF(AND('Project Assumptions'!$C$56="No",O27&lt;0),0,IF(AND('Project Assumptions'!$C$56="No",O27&gt;0),O27,IF(O27&lt;0,0,(O27+O32))))</f>
        <v>949.16875511538751</v>
      </c>
      <c r="P35" s="972">
        <f>IF(AND('Project Assumptions'!$C$56="No",P27&lt;0),0,IF(AND('Project Assumptions'!$C$56="No",P27&gt;0),P27,IF(P27&lt;0,0,(P27+P32))))</f>
        <v>1017.2676864167624</v>
      </c>
      <c r="Q35" s="972">
        <f>IF(AND('Project Assumptions'!$C$56="No",Q27&lt;0),0,IF(AND('Project Assumptions'!$C$56="No",Q27&gt;0),Q27,IF(Q27&lt;0,0,(Q27+Q32))))</f>
        <v>1049.2069514452712</v>
      </c>
      <c r="R35" s="972">
        <f>IF(AND('Project Assumptions'!$C$56="No",R27&lt;0),0,IF(AND('Project Assumptions'!$C$56="No",R27&gt;0),R27,IF(R27&lt;0,0,(R27+R32))))</f>
        <v>1081.9418841029951</v>
      </c>
      <c r="S35" s="972">
        <f>IF(AND('Project Assumptions'!$C$56="No",S27&lt;0),0,IF(AND('Project Assumptions'!$C$56="No",S27&gt;0),S27,IF(S27&lt;0,0,(S27+S32))))</f>
        <v>1334.3959877051846</v>
      </c>
      <c r="T35" s="972">
        <f>IF(AND('Project Assumptions'!$C$56="No",T27&lt;0),0,IF(AND('Project Assumptions'!$C$56="No",T27&gt;0),T27,IF(T27&lt;0,0,(T27+T32))))</f>
        <v>1592.1615641899516</v>
      </c>
      <c r="U35" s="972">
        <f>IF(AND('Project Assumptions'!$C$56="No",U27&lt;0),0,IF(AND('Project Assumptions'!$C$56="No",U27&gt;0),U27,IF(U27&lt;0,0,(U27+U32))))</f>
        <v>1641.8030714427689</v>
      </c>
      <c r="V35" s="972">
        <f>IF(AND('Project Assumptions'!$C$56="No",V27&lt;0),0,IF(AND('Project Assumptions'!$C$56="No",V27&gt;0),V27,IF(V27&lt;0,0,(V27+V32))))</f>
        <v>1691.3323532935483</v>
      </c>
      <c r="W35" s="972">
        <f>IF(AND('Project Assumptions'!$C$56="No",W27&lt;0),0,IF(AND('Project Assumptions'!$C$56="No",W27&gt;0),W27,IF(W27&lt;0,0,(W27+W32))))</f>
        <v>1742.6633684984672</v>
      </c>
      <c r="X35" s="972">
        <f>IF(AND('Project Assumptions'!$C$56="No",X27&lt;0),0,IF(AND('Project Assumptions'!$C$56="No",X27&gt;0),X27,IF(X27&lt;0,0,(X27+X32))))</f>
        <v>1798.7549195763677</v>
      </c>
      <c r="Y35" s="972">
        <f>IF(AND('Project Assumptions'!$C$56="No",Y27&lt;0),0,IF(AND('Project Assumptions'!$C$56="No",Y27&gt;0),Y27,IF(Y27&lt;0,0,(Y27+Y32))))</f>
        <v>0</v>
      </c>
      <c r="Z35" s="972">
        <f>IF(AND('Project Assumptions'!$C$56="No",Z27&lt;0),0,IF(AND('Project Assumptions'!$C$56="No",Z27&gt;0),Z27,IF(Z27&lt;0,0,(Z27+Z32))))</f>
        <v>0</v>
      </c>
      <c r="AA35" s="972">
        <f>IF(AND('Project Assumptions'!$C$56="No",AA27&lt;0),0,IF(AND('Project Assumptions'!$C$56="No",AA27&gt;0),AA27,IF(AA27&lt;0,0,(AA27+AA32))))</f>
        <v>0</v>
      </c>
      <c r="AB35" s="973">
        <f>IF(AND('Project Assumptions'!$C$56="No",AB27&lt;0),0,IF(AND('Project Assumptions'!$C$56="No",AB27&gt;0),AB27,IF(AB27&lt;0,0,(AB27+AB32))))</f>
        <v>0</v>
      </c>
      <c r="AC35" s="419"/>
      <c r="AD35" s="419"/>
    </row>
    <row r="36" spans="1:256" s="23" customFormat="1" ht="12" customHeight="1">
      <c r="A36" s="910" t="s">
        <v>483</v>
      </c>
      <c r="B36" s="179"/>
      <c r="C36" s="179"/>
      <c r="D36" s="526">
        <f>D15</f>
        <v>0</v>
      </c>
      <c r="E36" s="526">
        <f t="shared" ref="E36:AB36" si="13">E15</f>
        <v>0</v>
      </c>
      <c r="F36" s="526">
        <f t="shared" si="13"/>
        <v>0</v>
      </c>
      <c r="G36" s="526">
        <f t="shared" si="13"/>
        <v>0</v>
      </c>
      <c r="H36" s="526">
        <f t="shared" si="13"/>
        <v>0</v>
      </c>
      <c r="I36" s="526">
        <f t="shared" si="13"/>
        <v>0</v>
      </c>
      <c r="J36" s="526">
        <f t="shared" si="13"/>
        <v>0</v>
      </c>
      <c r="K36" s="526">
        <f t="shared" si="13"/>
        <v>0</v>
      </c>
      <c r="L36" s="526">
        <f t="shared" si="13"/>
        <v>0</v>
      </c>
      <c r="M36" s="526">
        <f t="shared" si="13"/>
        <v>0</v>
      </c>
      <c r="N36" s="526">
        <f t="shared" si="13"/>
        <v>0</v>
      </c>
      <c r="O36" s="526">
        <f t="shared" si="13"/>
        <v>0</v>
      </c>
      <c r="P36" s="526">
        <f t="shared" si="13"/>
        <v>0</v>
      </c>
      <c r="Q36" s="526">
        <f t="shared" si="13"/>
        <v>0</v>
      </c>
      <c r="R36" s="526">
        <f t="shared" si="13"/>
        <v>0</v>
      </c>
      <c r="S36" s="526">
        <f t="shared" si="13"/>
        <v>0</v>
      </c>
      <c r="T36" s="526">
        <f t="shared" si="13"/>
        <v>0</v>
      </c>
      <c r="U36" s="526">
        <f t="shared" si="13"/>
        <v>0</v>
      </c>
      <c r="V36" s="526">
        <f t="shared" si="13"/>
        <v>0</v>
      </c>
      <c r="W36" s="526">
        <f t="shared" si="13"/>
        <v>0</v>
      </c>
      <c r="X36" s="526">
        <f t="shared" si="13"/>
        <v>0</v>
      </c>
      <c r="Y36" s="526">
        <f t="shared" si="13"/>
        <v>0</v>
      </c>
      <c r="Z36" s="526">
        <f t="shared" si="13"/>
        <v>0</v>
      </c>
      <c r="AA36" s="526">
        <f t="shared" si="13"/>
        <v>0</v>
      </c>
      <c r="AB36" s="974">
        <f t="shared" si="13"/>
        <v>0</v>
      </c>
      <c r="AC36" s="179"/>
      <c r="AD36" s="179"/>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s="23" customFormat="1" ht="12" customHeight="1">
      <c r="A37" s="527" t="s">
        <v>484</v>
      </c>
      <c r="B37" s="528"/>
      <c r="C37" s="528"/>
      <c r="D37" s="529">
        <f t="shared" ref="D37:AB37" si="14">SUM(D35:D36)</f>
        <v>0</v>
      </c>
      <c r="E37" s="529">
        <f t="shared" si="14"/>
        <v>0</v>
      </c>
      <c r="F37" s="529">
        <f t="shared" si="14"/>
        <v>0</v>
      </c>
      <c r="G37" s="529">
        <f t="shared" si="14"/>
        <v>0</v>
      </c>
      <c r="H37" s="529">
        <f t="shared" si="14"/>
        <v>0</v>
      </c>
      <c r="I37" s="529">
        <f t="shared" si="14"/>
        <v>143.64367785383268</v>
      </c>
      <c r="J37" s="529">
        <f t="shared" si="14"/>
        <v>715.66587109811553</v>
      </c>
      <c r="K37" s="529">
        <f t="shared" si="14"/>
        <v>752.21745989414296</v>
      </c>
      <c r="L37" s="529">
        <f t="shared" si="14"/>
        <v>821.22309791130544</v>
      </c>
      <c r="M37" s="529">
        <f t="shared" si="14"/>
        <v>870.4650377726266</v>
      </c>
      <c r="N37" s="529">
        <f t="shared" si="14"/>
        <v>964.02781307966734</v>
      </c>
      <c r="O37" s="529">
        <f t="shared" si="14"/>
        <v>949.16875511538751</v>
      </c>
      <c r="P37" s="529">
        <f t="shared" si="14"/>
        <v>1017.2676864167624</v>
      </c>
      <c r="Q37" s="529">
        <f t="shared" si="14"/>
        <v>1049.2069514452712</v>
      </c>
      <c r="R37" s="529">
        <f t="shared" si="14"/>
        <v>1081.9418841029951</v>
      </c>
      <c r="S37" s="529">
        <f t="shared" si="14"/>
        <v>1334.3959877051846</v>
      </c>
      <c r="T37" s="529">
        <f t="shared" si="14"/>
        <v>1592.1615641899516</v>
      </c>
      <c r="U37" s="529">
        <f t="shared" si="14"/>
        <v>1641.8030714427689</v>
      </c>
      <c r="V37" s="529">
        <f t="shared" si="14"/>
        <v>1691.3323532935483</v>
      </c>
      <c r="W37" s="529">
        <f t="shared" si="14"/>
        <v>1742.6633684984672</v>
      </c>
      <c r="X37" s="529">
        <f t="shared" si="14"/>
        <v>1798.7549195763677</v>
      </c>
      <c r="Y37" s="529">
        <f t="shared" si="14"/>
        <v>0</v>
      </c>
      <c r="Z37" s="529">
        <f t="shared" si="14"/>
        <v>0</v>
      </c>
      <c r="AA37" s="529">
        <f t="shared" si="14"/>
        <v>0</v>
      </c>
      <c r="AB37" s="530">
        <f t="shared" si="14"/>
        <v>0</v>
      </c>
      <c r="AC37" s="179"/>
      <c r="AD37" s="179"/>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s="23" customFormat="1" ht="12" customHeight="1">
      <c r="A38" s="191"/>
      <c r="B38" s="179"/>
      <c r="C38" s="179"/>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179"/>
      <c r="AD38" s="179"/>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43"/>
      <c r="EV38" s="43"/>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c r="GN38" s="43"/>
      <c r="GO38" s="43"/>
      <c r="GP38" s="43"/>
      <c r="GQ38" s="43"/>
      <c r="GR38" s="43"/>
      <c r="GS38" s="43"/>
      <c r="GT38" s="43"/>
      <c r="GU38" s="43"/>
      <c r="GV38" s="43"/>
      <c r="GW38" s="43"/>
      <c r="GX38" s="43"/>
      <c r="GY38" s="43"/>
      <c r="GZ38" s="43"/>
      <c r="HA38" s="43"/>
      <c r="HB38" s="43"/>
      <c r="HC38" s="43"/>
      <c r="HD38" s="43"/>
      <c r="HE38" s="43"/>
      <c r="HF38" s="43"/>
      <c r="HG38" s="43"/>
      <c r="HH38" s="43"/>
      <c r="HI38" s="43"/>
      <c r="HJ38" s="43"/>
      <c r="HK38" s="43"/>
      <c r="HL38" s="43"/>
      <c r="HM38" s="43"/>
      <c r="HN38" s="43"/>
      <c r="HO38" s="43"/>
      <c r="HP38" s="43"/>
      <c r="HQ38" s="43"/>
      <c r="HR38" s="43"/>
      <c r="HS38" s="43"/>
      <c r="HT38" s="43"/>
      <c r="HU38" s="43"/>
      <c r="HV38" s="43"/>
      <c r="HW38" s="43"/>
      <c r="HX38" s="43"/>
      <c r="HY38" s="43"/>
      <c r="HZ38" s="43"/>
      <c r="IA38" s="43"/>
      <c r="IB38" s="43"/>
      <c r="IC38" s="43"/>
      <c r="ID38" s="43"/>
      <c r="IE38" s="43"/>
      <c r="IF38" s="43"/>
      <c r="IG38" s="43"/>
      <c r="IH38" s="43"/>
      <c r="II38" s="43"/>
      <c r="IJ38" s="43"/>
      <c r="IK38" s="43"/>
      <c r="IL38" s="43"/>
      <c r="IM38" s="43"/>
      <c r="IN38" s="43"/>
      <c r="IO38" s="43"/>
      <c r="IP38" s="43"/>
      <c r="IQ38" s="43"/>
      <c r="IR38" s="43"/>
      <c r="IS38" s="43"/>
      <c r="IT38" s="43"/>
      <c r="IU38" s="43"/>
      <c r="IV38" s="43"/>
    </row>
    <row r="39" spans="1:256" ht="12" customHeight="1">
      <c r="A39" s="975" t="s">
        <v>177</v>
      </c>
      <c r="B39" s="641"/>
      <c r="C39" s="641"/>
      <c r="D39" s="641"/>
      <c r="E39" s="641"/>
      <c r="F39" s="641"/>
      <c r="G39" s="641"/>
      <c r="H39" s="641"/>
      <c r="I39" s="641"/>
      <c r="J39" s="641"/>
      <c r="K39" s="641"/>
      <c r="L39" s="641"/>
      <c r="M39" s="641"/>
      <c r="N39" s="641"/>
      <c r="O39" s="641"/>
      <c r="P39" s="641"/>
      <c r="Q39" s="641"/>
      <c r="R39" s="641"/>
      <c r="S39" s="641"/>
      <c r="T39" s="641"/>
      <c r="U39" s="641"/>
      <c r="V39" s="641"/>
      <c r="W39" s="641"/>
      <c r="X39" s="641"/>
      <c r="Y39" s="641"/>
      <c r="Z39" s="641"/>
      <c r="AA39" s="641"/>
      <c r="AB39" s="738"/>
      <c r="AC39" s="179"/>
      <c r="AD39" s="179"/>
    </row>
    <row r="40" spans="1:256" ht="12" customHeight="1">
      <c r="A40" s="953"/>
      <c r="B40" s="179"/>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79"/>
      <c r="AA40" s="179"/>
      <c r="AB40" s="782"/>
      <c r="AC40" s="179"/>
      <c r="AD40" s="179"/>
    </row>
    <row r="41" spans="1:256" ht="12" customHeight="1">
      <c r="A41" s="910" t="s">
        <v>92</v>
      </c>
      <c r="B41" s="179"/>
      <c r="C41" s="420"/>
      <c r="D41" s="431">
        <f>D18</f>
        <v>-3124.1949553443683</v>
      </c>
      <c r="E41" s="431">
        <f t="shared" ref="E41:AB41" si="15">E18</f>
        <v>5454.8448235856977</v>
      </c>
      <c r="F41" s="431">
        <f t="shared" si="15"/>
        <v>5980.496999061761</v>
      </c>
      <c r="G41" s="431">
        <f t="shared" si="15"/>
        <v>6385.4145589871887</v>
      </c>
      <c r="H41" s="431">
        <f t="shared" si="15"/>
        <v>12664.464671588627</v>
      </c>
      <c r="I41" s="431">
        <f t="shared" si="15"/>
        <v>17719.032153597749</v>
      </c>
      <c r="J41" s="431">
        <f t="shared" si="15"/>
        <v>18758.569757962308</v>
      </c>
      <c r="K41" s="431">
        <f t="shared" si="15"/>
        <v>19494.695852282857</v>
      </c>
      <c r="L41" s="431">
        <f t="shared" si="15"/>
        <v>20860.114294226103</v>
      </c>
      <c r="M41" s="431">
        <f t="shared" si="15"/>
        <v>21859.647409852532</v>
      </c>
      <c r="N41" s="431">
        <f t="shared" si="15"/>
        <v>23716.208597593344</v>
      </c>
      <c r="O41" s="431">
        <f t="shared" si="15"/>
        <v>23433.721756707746</v>
      </c>
      <c r="P41" s="431">
        <f t="shared" si="15"/>
        <v>24781.006064335244</v>
      </c>
      <c r="Q41" s="431">
        <f t="shared" si="15"/>
        <v>25434.485683305422</v>
      </c>
      <c r="R41" s="431">
        <f t="shared" si="15"/>
        <v>26074.4900180599</v>
      </c>
      <c r="S41" s="431">
        <f t="shared" si="15"/>
        <v>26699.948162103687</v>
      </c>
      <c r="T41" s="431">
        <f t="shared" si="15"/>
        <v>27343.435763799029</v>
      </c>
      <c r="U41" s="431">
        <f t="shared" si="15"/>
        <v>28247.765908855381</v>
      </c>
      <c r="V41" s="431">
        <f t="shared" si="15"/>
        <v>29238.351545870966</v>
      </c>
      <c r="W41" s="431">
        <f t="shared" si="15"/>
        <v>30264.971849969341</v>
      </c>
      <c r="X41" s="431">
        <f t="shared" si="15"/>
        <v>31350.548704860685</v>
      </c>
      <c r="Y41" s="431">
        <f t="shared" si="15"/>
        <v>0</v>
      </c>
      <c r="Z41" s="431">
        <f t="shared" si="15"/>
        <v>0</v>
      </c>
      <c r="AA41" s="431">
        <f t="shared" si="15"/>
        <v>0</v>
      </c>
      <c r="AB41" s="976">
        <f t="shared" si="15"/>
        <v>0</v>
      </c>
      <c r="AC41" s="431"/>
      <c r="AD41" s="431"/>
    </row>
    <row r="42" spans="1:256" ht="12" customHeight="1">
      <c r="A42" s="910" t="s">
        <v>35</v>
      </c>
      <c r="B42" s="179"/>
      <c r="C42" s="420"/>
      <c r="D42" s="421">
        <f>D21</f>
        <v>2151.860133333334</v>
      </c>
      <c r="E42" s="421">
        <f t="shared" ref="E42:AB42" si="16">E21</f>
        <v>5201.96432</v>
      </c>
      <c r="F42" s="421">
        <f t="shared" si="16"/>
        <v>5254.46432</v>
      </c>
      <c r="G42" s="421">
        <f t="shared" si="16"/>
        <v>5254.46432</v>
      </c>
      <c r="H42" s="421">
        <f t="shared" si="16"/>
        <v>5254.46432</v>
      </c>
      <c r="I42" s="421">
        <f t="shared" si="16"/>
        <v>5002.78982</v>
      </c>
      <c r="J42" s="421">
        <f t="shared" si="16"/>
        <v>4650.4455200000002</v>
      </c>
      <c r="K42" s="421">
        <f t="shared" si="16"/>
        <v>4650.4455200000002</v>
      </c>
      <c r="L42" s="421">
        <f t="shared" si="16"/>
        <v>4650.4455200000002</v>
      </c>
      <c r="M42" s="421">
        <f t="shared" si="16"/>
        <v>4650.4455200000002</v>
      </c>
      <c r="N42" s="421">
        <f t="shared" si="16"/>
        <v>4650.4455200000002</v>
      </c>
      <c r="O42" s="421">
        <f t="shared" si="16"/>
        <v>4650.4455200000002</v>
      </c>
      <c r="P42" s="421">
        <f t="shared" si="16"/>
        <v>4650.4455200000002</v>
      </c>
      <c r="Q42" s="421">
        <f t="shared" si="16"/>
        <v>4650.4455200000002</v>
      </c>
      <c r="R42" s="421">
        <f t="shared" si="16"/>
        <v>4650.4455200000002</v>
      </c>
      <c r="S42" s="421">
        <f t="shared" si="16"/>
        <v>4650.4455200000002</v>
      </c>
      <c r="T42" s="421">
        <f t="shared" si="16"/>
        <v>4650.4455200000002</v>
      </c>
      <c r="U42" s="421">
        <f t="shared" si="16"/>
        <v>4650.4455200000002</v>
      </c>
      <c r="V42" s="421">
        <f t="shared" si="16"/>
        <v>4650.4455200000002</v>
      </c>
      <c r="W42" s="421">
        <f t="shared" si="16"/>
        <v>4650.4455200000002</v>
      </c>
      <c r="X42" s="421">
        <f t="shared" si="16"/>
        <v>4624.5496866666672</v>
      </c>
      <c r="Y42" s="421">
        <f t="shared" si="16"/>
        <v>0</v>
      </c>
      <c r="Z42" s="421">
        <f t="shared" si="16"/>
        <v>0</v>
      </c>
      <c r="AA42" s="421">
        <f t="shared" si="16"/>
        <v>0</v>
      </c>
      <c r="AB42" s="977">
        <f t="shared" si="16"/>
        <v>0</v>
      </c>
      <c r="AC42" s="422"/>
      <c r="AD42" s="422"/>
    </row>
    <row r="43" spans="1:256" s="23" customFormat="1" ht="12" customHeight="1">
      <c r="A43" s="942"/>
      <c r="B43" s="432"/>
      <c r="C43" s="423"/>
      <c r="D43" s="423">
        <f t="shared" ref="D43:AB43" si="17">SUM(D41:D42)</f>
        <v>-972.33482201103425</v>
      </c>
      <c r="E43" s="423">
        <f t="shared" si="17"/>
        <v>10656.809143585699</v>
      </c>
      <c r="F43" s="423">
        <f t="shared" si="17"/>
        <v>11234.96131906176</v>
      </c>
      <c r="G43" s="423">
        <f t="shared" si="17"/>
        <v>11639.878878987189</v>
      </c>
      <c r="H43" s="423">
        <f t="shared" si="17"/>
        <v>17918.928991588626</v>
      </c>
      <c r="I43" s="423">
        <f t="shared" si="17"/>
        <v>22721.821973597747</v>
      </c>
      <c r="J43" s="423">
        <f t="shared" si="17"/>
        <v>23409.015277962309</v>
      </c>
      <c r="K43" s="423">
        <f t="shared" si="17"/>
        <v>24145.141372282858</v>
      </c>
      <c r="L43" s="423">
        <f t="shared" si="17"/>
        <v>25510.559814226104</v>
      </c>
      <c r="M43" s="423">
        <f t="shared" si="17"/>
        <v>26510.092929852533</v>
      </c>
      <c r="N43" s="423">
        <f t="shared" si="17"/>
        <v>28366.654117593345</v>
      </c>
      <c r="O43" s="423">
        <f t="shared" si="17"/>
        <v>28084.167276707747</v>
      </c>
      <c r="P43" s="423">
        <f t="shared" si="17"/>
        <v>29431.451584335246</v>
      </c>
      <c r="Q43" s="423">
        <f t="shared" si="17"/>
        <v>30084.931203305423</v>
      </c>
      <c r="R43" s="423">
        <f t="shared" si="17"/>
        <v>30724.935538059901</v>
      </c>
      <c r="S43" s="423">
        <f t="shared" si="17"/>
        <v>31350.393682103688</v>
      </c>
      <c r="T43" s="423">
        <f t="shared" si="17"/>
        <v>31993.88128379903</v>
      </c>
      <c r="U43" s="423">
        <f t="shared" si="17"/>
        <v>32898.211428855378</v>
      </c>
      <c r="V43" s="423">
        <f t="shared" si="17"/>
        <v>33888.797065870967</v>
      </c>
      <c r="W43" s="423">
        <f t="shared" si="17"/>
        <v>34915.417369969342</v>
      </c>
      <c r="X43" s="423">
        <f t="shared" si="17"/>
        <v>35975.098391527354</v>
      </c>
      <c r="Y43" s="423">
        <f t="shared" si="17"/>
        <v>0</v>
      </c>
      <c r="Z43" s="423">
        <f t="shared" si="17"/>
        <v>0</v>
      </c>
      <c r="AA43" s="423">
        <f t="shared" si="17"/>
        <v>0</v>
      </c>
      <c r="AB43" s="912">
        <f t="shared" si="17"/>
        <v>0</v>
      </c>
      <c r="AC43" s="423"/>
      <c r="AD43" s="423"/>
    </row>
    <row r="44" spans="1:256" s="23" customFormat="1" ht="12" customHeight="1">
      <c r="A44" s="910" t="s">
        <v>485</v>
      </c>
      <c r="B44" s="432"/>
      <c r="C44" s="423"/>
      <c r="D44" s="423">
        <f>IF(D3&lt;='Project Assumptions'!$I$16,Depreciation!D16*-1,0)</f>
        <v>-7774.7295333333341</v>
      </c>
      <c r="E44" s="423">
        <f>IF(E3&lt;='Project Assumptions'!$I$16,Depreciation!E16*-1,0)</f>
        <v>-15060.771280000001</v>
      </c>
      <c r="F44" s="423">
        <f>IF(F3&lt;='Project Assumptions'!$I$16,Depreciation!F16*-1,0)</f>
        <v>-13771.311032000001</v>
      </c>
      <c r="G44" s="423">
        <f>IF(G3&lt;='Project Assumptions'!$I$16,Depreciation!G16*-1,0)</f>
        <v>-12468.293968</v>
      </c>
      <c r="H44" s="423">
        <f>IF(H3&lt;='Project Assumptions'!$I$16,Depreciation!H16*-1,0)</f>
        <v>-11288.231451199999</v>
      </c>
      <c r="I44" s="423">
        <f>IF(I3&lt;='Project Assumptions'!$I$16,Depreciation!I16*-1,0)</f>
        <v>-9963.8546631999998</v>
      </c>
      <c r="J44" s="423">
        <f>IF(J3&lt;='Project Assumptions'!$I$16,Depreciation!J16*-1,0)</f>
        <v>-9095.6978559999989</v>
      </c>
      <c r="K44" s="423">
        <f>IF(K3&lt;='Project Assumptions'!$I$16,Depreciation!K16*-1,0)</f>
        <v>-9100.7921743999996</v>
      </c>
      <c r="L44" s="423">
        <f>IF(L3&lt;='Project Assumptions'!$I$16,Depreciation!L16*-1,0)</f>
        <v>-9086.0978559999985</v>
      </c>
      <c r="M44" s="423">
        <f>IF(M3&lt;='Project Assumptions'!$I$16,Depreciation!M16*-1,0)</f>
        <v>-9100.7921743999996</v>
      </c>
      <c r="N44" s="423">
        <f>IF(N3&lt;='Project Assumptions'!$I$16,Depreciation!N16*-1,0)</f>
        <v>-9086.0978559999985</v>
      </c>
      <c r="O44" s="423">
        <f>IF(O3&lt;='Project Assumptions'!$I$16,Depreciation!O16*-1,0)</f>
        <v>-9100.7921743999996</v>
      </c>
      <c r="P44" s="423">
        <f>IF(P3&lt;='Project Assumptions'!$I$16,Depreciation!P16*-1,0)</f>
        <v>-9086.0978559999985</v>
      </c>
      <c r="Q44" s="423">
        <f>IF(Q3&lt;='Project Assumptions'!$I$16,Depreciation!Q16*-1,0)</f>
        <v>-9100.7921743999996</v>
      </c>
      <c r="R44" s="423">
        <f>IF(R3&lt;='Project Assumptions'!$I$16,Depreciation!R16*-1,0)</f>
        <v>-9086.0978559999985</v>
      </c>
      <c r="S44" s="423">
        <f>IF(S3&lt;='Project Assumptions'!$I$16,Depreciation!S16*-1,0)</f>
        <v>-4662.4739279999994</v>
      </c>
      <c r="T44" s="423">
        <f>IF(T3&lt;='Project Assumptions'!$I$16,Depreciation!T16*-1,0)</f>
        <v>-150.65</v>
      </c>
      <c r="U44" s="423">
        <f>IF(U3&lt;='Project Assumptions'!$I$16,Depreciation!U16*-1,0)</f>
        <v>-62.150000000000006</v>
      </c>
      <c r="V44" s="423">
        <f>IF(V3&lt;='Project Assumptions'!$I$16,Depreciation!V16*-1,0)</f>
        <v>-62.150000000000006</v>
      </c>
      <c r="W44" s="423">
        <f>IF(W3&lt;='Project Assumptions'!$I$16,Depreciation!W16*-1,0)</f>
        <v>-62.150000000000006</v>
      </c>
      <c r="X44" s="423">
        <f>IF(X3&lt;='Project Assumptions'!$I$16,Depreciation!X16*-1,0)</f>
        <v>0</v>
      </c>
      <c r="Y44" s="423">
        <f>IF(Y3&lt;='Project Assumptions'!$I$16,Depreciation!Y16*-1,0)</f>
        <v>0</v>
      </c>
      <c r="Z44" s="423">
        <f>IF(Z3&lt;='Project Assumptions'!$I$16,Depreciation!Z16*-1,0)</f>
        <v>0</v>
      </c>
      <c r="AA44" s="423">
        <f>IF(AA3&lt;='Project Assumptions'!$I$16,Depreciation!AA16*-1,0)</f>
        <v>0</v>
      </c>
      <c r="AB44" s="912">
        <f>IF(AB3&lt;='Project Assumptions'!$I$16,Depreciation!AB16*-1,0)</f>
        <v>0</v>
      </c>
      <c r="AC44" s="423"/>
      <c r="AD44" s="423"/>
    </row>
    <row r="45" spans="1:256" s="23" customFormat="1" ht="12" customHeight="1">
      <c r="A45" s="910" t="s">
        <v>486</v>
      </c>
      <c r="B45" s="432"/>
      <c r="C45" s="432"/>
      <c r="D45" s="421">
        <f>IF(D37&gt;0,-D37,0)</f>
        <v>0</v>
      </c>
      <c r="E45" s="421">
        <f t="shared" ref="E45:AB45" si="18">IF(E37&gt;0,-E37,0)</f>
        <v>0</v>
      </c>
      <c r="F45" s="421">
        <f t="shared" si="18"/>
        <v>0</v>
      </c>
      <c r="G45" s="421">
        <f t="shared" si="18"/>
        <v>0</v>
      </c>
      <c r="H45" s="421">
        <f t="shared" si="18"/>
        <v>0</v>
      </c>
      <c r="I45" s="421">
        <f t="shared" si="18"/>
        <v>-143.64367785383268</v>
      </c>
      <c r="J45" s="421">
        <f t="shared" si="18"/>
        <v>-715.66587109811553</v>
      </c>
      <c r="K45" s="421">
        <f t="shared" si="18"/>
        <v>-752.21745989414296</v>
      </c>
      <c r="L45" s="421">
        <f t="shared" si="18"/>
        <v>-821.22309791130544</v>
      </c>
      <c r="M45" s="421">
        <f t="shared" si="18"/>
        <v>-870.4650377726266</v>
      </c>
      <c r="N45" s="421">
        <f t="shared" si="18"/>
        <v>-964.02781307966734</v>
      </c>
      <c r="O45" s="421">
        <f t="shared" si="18"/>
        <v>-949.16875511538751</v>
      </c>
      <c r="P45" s="421">
        <f t="shared" si="18"/>
        <v>-1017.2676864167624</v>
      </c>
      <c r="Q45" s="421">
        <f t="shared" si="18"/>
        <v>-1049.2069514452712</v>
      </c>
      <c r="R45" s="421">
        <f t="shared" si="18"/>
        <v>-1081.9418841029951</v>
      </c>
      <c r="S45" s="421">
        <f t="shared" si="18"/>
        <v>-1334.3959877051846</v>
      </c>
      <c r="T45" s="421">
        <f t="shared" si="18"/>
        <v>-1592.1615641899516</v>
      </c>
      <c r="U45" s="421">
        <f t="shared" si="18"/>
        <v>-1641.8030714427689</v>
      </c>
      <c r="V45" s="421">
        <f t="shared" si="18"/>
        <v>-1691.3323532935483</v>
      </c>
      <c r="W45" s="421">
        <f t="shared" si="18"/>
        <v>-1742.6633684984672</v>
      </c>
      <c r="X45" s="421">
        <f t="shared" si="18"/>
        <v>-1798.7549195763677</v>
      </c>
      <c r="Y45" s="421">
        <f t="shared" si="18"/>
        <v>0</v>
      </c>
      <c r="Z45" s="421">
        <f t="shared" si="18"/>
        <v>0</v>
      </c>
      <c r="AA45" s="421">
        <f t="shared" si="18"/>
        <v>0</v>
      </c>
      <c r="AB45" s="977">
        <f t="shared" si="18"/>
        <v>0</v>
      </c>
      <c r="AC45" s="432"/>
      <c r="AD45" s="432"/>
    </row>
    <row r="46" spans="1:256" s="23" customFormat="1" ht="12" customHeight="1">
      <c r="A46" s="908" t="s">
        <v>88</v>
      </c>
      <c r="B46" s="180"/>
      <c r="C46" s="531"/>
      <c r="D46" s="532">
        <f t="shared" ref="D46:AB46" si="19">SUM(D43:D45)</f>
        <v>-8747.0643553443679</v>
      </c>
      <c r="E46" s="532">
        <f t="shared" si="19"/>
        <v>-4403.9621364143022</v>
      </c>
      <c r="F46" s="532">
        <f t="shared" si="19"/>
        <v>-2536.3497129382413</v>
      </c>
      <c r="G46" s="532">
        <f t="shared" si="19"/>
        <v>-828.41508901281122</v>
      </c>
      <c r="H46" s="532">
        <f t="shared" si="19"/>
        <v>6630.6975403886263</v>
      </c>
      <c r="I46" s="532">
        <f t="shared" si="19"/>
        <v>12614.323632543916</v>
      </c>
      <c r="J46" s="532">
        <f t="shared" si="19"/>
        <v>13597.651550864195</v>
      </c>
      <c r="K46" s="532">
        <f t="shared" si="19"/>
        <v>14292.131737988715</v>
      </c>
      <c r="L46" s="532">
        <f t="shared" si="19"/>
        <v>15603.238860314803</v>
      </c>
      <c r="M46" s="532">
        <f t="shared" si="19"/>
        <v>16538.835717679904</v>
      </c>
      <c r="N46" s="532">
        <f t="shared" si="19"/>
        <v>18316.528448513676</v>
      </c>
      <c r="O46" s="532">
        <f t="shared" si="19"/>
        <v>18034.206347192361</v>
      </c>
      <c r="P46" s="532">
        <f t="shared" si="19"/>
        <v>19328.086041918486</v>
      </c>
      <c r="Q46" s="532">
        <f t="shared" si="19"/>
        <v>19934.932077460155</v>
      </c>
      <c r="R46" s="532">
        <f t="shared" si="19"/>
        <v>20556.895797956906</v>
      </c>
      <c r="S46" s="532">
        <f t="shared" si="19"/>
        <v>25353.523766398503</v>
      </c>
      <c r="T46" s="532">
        <f t="shared" si="19"/>
        <v>30251.069719609077</v>
      </c>
      <c r="U46" s="532">
        <f t="shared" si="19"/>
        <v>31194.258357412607</v>
      </c>
      <c r="V46" s="532">
        <f t="shared" si="19"/>
        <v>32135.314712577419</v>
      </c>
      <c r="W46" s="532">
        <f t="shared" si="19"/>
        <v>33110.604001470871</v>
      </c>
      <c r="X46" s="532">
        <f t="shared" si="19"/>
        <v>34176.343471950982</v>
      </c>
      <c r="Y46" s="532">
        <f t="shared" si="19"/>
        <v>0</v>
      </c>
      <c r="Z46" s="532">
        <f t="shared" si="19"/>
        <v>0</v>
      </c>
      <c r="AA46" s="532">
        <f t="shared" si="19"/>
        <v>0</v>
      </c>
      <c r="AB46" s="978">
        <f t="shared" si="19"/>
        <v>0</v>
      </c>
      <c r="AC46" s="423"/>
      <c r="AD46" s="423"/>
    </row>
    <row r="47" spans="1:256" s="23" customFormat="1" ht="12" customHeight="1">
      <c r="A47" s="910"/>
      <c r="B47" s="432"/>
      <c r="C47" s="423"/>
      <c r="D47" s="421"/>
      <c r="E47" s="421"/>
      <c r="F47" s="421"/>
      <c r="G47" s="421"/>
      <c r="H47" s="421"/>
      <c r="I47" s="421"/>
      <c r="J47" s="421"/>
      <c r="K47" s="421"/>
      <c r="L47" s="421"/>
      <c r="M47" s="421"/>
      <c r="N47" s="421"/>
      <c r="O47" s="421"/>
      <c r="P47" s="421"/>
      <c r="Q47" s="421"/>
      <c r="R47" s="421"/>
      <c r="S47" s="421"/>
      <c r="T47" s="421"/>
      <c r="U47" s="421"/>
      <c r="V47" s="421"/>
      <c r="W47" s="421"/>
      <c r="X47" s="421"/>
      <c r="Y47" s="421"/>
      <c r="Z47" s="421"/>
      <c r="AA47" s="421"/>
      <c r="AB47" s="977"/>
      <c r="AC47" s="423"/>
      <c r="AD47" s="423"/>
    </row>
    <row r="48" spans="1:256" ht="12" customHeight="1">
      <c r="A48" s="910" t="s">
        <v>487</v>
      </c>
      <c r="B48" s="179"/>
      <c r="C48" s="433"/>
      <c r="D48" s="777">
        <f>IF(D3&gt;ProjectLife,0,'Project Assumptions'!$N$63)</f>
        <v>0.35</v>
      </c>
      <c r="E48" s="777">
        <f>IF(E3&gt;ProjectLife,0,'Project Assumptions'!$N$63)</f>
        <v>0.35</v>
      </c>
      <c r="F48" s="777">
        <f>IF(F3&gt;ProjectLife,0,'Project Assumptions'!$N$63)</f>
        <v>0.35</v>
      </c>
      <c r="G48" s="777">
        <f>IF(G3&gt;ProjectLife,0,'Project Assumptions'!$N$63)</f>
        <v>0.35</v>
      </c>
      <c r="H48" s="777">
        <f>IF(H3&gt;ProjectLife,0,'Project Assumptions'!$N$63)</f>
        <v>0.35</v>
      </c>
      <c r="I48" s="777">
        <f>IF(I3&gt;ProjectLife,0,'Project Assumptions'!$N$63)</f>
        <v>0.35</v>
      </c>
      <c r="J48" s="777">
        <f>IF(J3&gt;ProjectLife,0,'Project Assumptions'!$N$63)</f>
        <v>0.35</v>
      </c>
      <c r="K48" s="777">
        <f>IF(K3&gt;ProjectLife,0,'Project Assumptions'!$N$63)</f>
        <v>0.35</v>
      </c>
      <c r="L48" s="777">
        <f>IF(L3&gt;ProjectLife,0,'Project Assumptions'!$N$63)</f>
        <v>0.35</v>
      </c>
      <c r="M48" s="777">
        <f>IF(M3&gt;ProjectLife,0,'Project Assumptions'!$N$63)</f>
        <v>0.35</v>
      </c>
      <c r="N48" s="777">
        <f>IF(N3&gt;ProjectLife,0,'Project Assumptions'!$N$63)</f>
        <v>0.35</v>
      </c>
      <c r="O48" s="777">
        <f>IF(O3&gt;ProjectLife,0,'Project Assumptions'!$N$63)</f>
        <v>0.35</v>
      </c>
      <c r="P48" s="777">
        <f>IF(P3&gt;ProjectLife,0,'Project Assumptions'!$N$63)</f>
        <v>0.35</v>
      </c>
      <c r="Q48" s="777">
        <f>IF(Q3&gt;ProjectLife,0,'Project Assumptions'!$N$63)</f>
        <v>0.35</v>
      </c>
      <c r="R48" s="777">
        <f>IF(R3&gt;ProjectLife,0,'Project Assumptions'!$N$63)</f>
        <v>0.35</v>
      </c>
      <c r="S48" s="777">
        <f>IF(S3&gt;ProjectLife,0,'Project Assumptions'!$N$63)</f>
        <v>0.35</v>
      </c>
      <c r="T48" s="777">
        <f>IF(T3&gt;ProjectLife,0,'Project Assumptions'!$N$63)</f>
        <v>0.35</v>
      </c>
      <c r="U48" s="777">
        <f>IF(U3&gt;ProjectLife,0,'Project Assumptions'!$N$63)</f>
        <v>0.35</v>
      </c>
      <c r="V48" s="777">
        <f>IF(V3&gt;ProjectLife,0,'Project Assumptions'!$N$63)</f>
        <v>0.35</v>
      </c>
      <c r="W48" s="777">
        <f>IF(W3&gt;ProjectLife,0,'Project Assumptions'!$N$63)</f>
        <v>0.35</v>
      </c>
      <c r="X48" s="777">
        <f>IF(X3&gt;ProjectLife,0,'Project Assumptions'!$N$63)</f>
        <v>0</v>
      </c>
      <c r="Y48" s="777">
        <f>IF(Y3&gt;ProjectLife,0,'Project Assumptions'!$N$63)</f>
        <v>0</v>
      </c>
      <c r="Z48" s="777">
        <f>IF(Z3&gt;ProjectLife,0,'Project Assumptions'!$N$63)</f>
        <v>0</v>
      </c>
      <c r="AA48" s="777">
        <f>IF(AA3&gt;ProjectLife,0,'Project Assumptions'!$N$63)</f>
        <v>0</v>
      </c>
      <c r="AB48" s="979">
        <f>IF(AB3&gt;ProjectLife,0,'Project Assumptions'!$N$63)</f>
        <v>0</v>
      </c>
      <c r="AC48" s="179"/>
      <c r="AD48" s="179"/>
    </row>
    <row r="49" spans="1:30" s="23" customFormat="1" ht="12" customHeight="1">
      <c r="A49" s="910" t="s">
        <v>89</v>
      </c>
      <c r="B49" s="432"/>
      <c r="C49" s="423"/>
      <c r="D49" s="423">
        <f>D46*'Project Assumptions'!$N$63</f>
        <v>-3061.4725243705284</v>
      </c>
      <c r="E49" s="423">
        <f>E46*'Project Assumptions'!$N$63</f>
        <v>-1541.3867477450058</v>
      </c>
      <c r="F49" s="423">
        <f>F46*'Project Assumptions'!$N$63</f>
        <v>-887.72239952838436</v>
      </c>
      <c r="G49" s="423">
        <f>G46*'Project Assumptions'!$N$63</f>
        <v>-289.94528115448389</v>
      </c>
      <c r="H49" s="423">
        <f>H46*'Project Assumptions'!$N$63</f>
        <v>2320.7441391360189</v>
      </c>
      <c r="I49" s="423">
        <f>I46*'Project Assumptions'!$N$63</f>
        <v>4415.0132713903704</v>
      </c>
      <c r="J49" s="423">
        <f>J46*'Project Assumptions'!$N$63</f>
        <v>4759.1780428024676</v>
      </c>
      <c r="K49" s="423">
        <f>K46*'Project Assumptions'!$N$63</f>
        <v>5002.2461082960499</v>
      </c>
      <c r="L49" s="423">
        <f>L46*'Project Assumptions'!$N$63</f>
        <v>5461.1336011101803</v>
      </c>
      <c r="M49" s="423">
        <f>M46*'Project Assumptions'!$N$63</f>
        <v>5788.5925011879663</v>
      </c>
      <c r="N49" s="423">
        <f>N46*'Project Assumptions'!$N$63</f>
        <v>6410.7849569797863</v>
      </c>
      <c r="O49" s="423">
        <f>O46*'Project Assumptions'!$N$63</f>
        <v>6311.972221517326</v>
      </c>
      <c r="P49" s="423">
        <f>P46*'Project Assumptions'!$N$63</f>
        <v>6764.8301146714703</v>
      </c>
      <c r="Q49" s="423">
        <f>Q46*'Project Assumptions'!$N$63</f>
        <v>6977.226227111054</v>
      </c>
      <c r="R49" s="423">
        <f>R46*'Project Assumptions'!$N$63</f>
        <v>7194.9135292849169</v>
      </c>
      <c r="S49" s="423">
        <f>S46*'Project Assumptions'!$N$63</f>
        <v>8873.7333182394759</v>
      </c>
      <c r="T49" s="423">
        <f>T46*'Project Assumptions'!$N$63</f>
        <v>10587.874401863177</v>
      </c>
      <c r="U49" s="423">
        <f>U46*'Project Assumptions'!$N$63</f>
        <v>10917.990425094413</v>
      </c>
      <c r="V49" s="423">
        <f>V46*'Project Assumptions'!$N$63</f>
        <v>11247.360149402097</v>
      </c>
      <c r="W49" s="423">
        <f>W46*'Project Assumptions'!$N$63</f>
        <v>11588.711400514803</v>
      </c>
      <c r="X49" s="423">
        <f>X46*'Project Assumptions'!$N$63</f>
        <v>11961.720215182842</v>
      </c>
      <c r="Y49" s="423">
        <f>Y46*'Project Assumptions'!$N$63</f>
        <v>0</v>
      </c>
      <c r="Z49" s="423">
        <f>Z46*'Project Assumptions'!$N$63</f>
        <v>0</v>
      </c>
      <c r="AA49" s="423">
        <f>AA46*'Project Assumptions'!$N$63</f>
        <v>0</v>
      </c>
      <c r="AB49" s="912">
        <f>AB46*'Project Assumptions'!$N$63</f>
        <v>0</v>
      </c>
      <c r="AC49" s="423"/>
      <c r="AD49" s="423"/>
    </row>
    <row r="50" spans="1:30">
      <c r="A50" s="779"/>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782"/>
      <c r="AC50" s="179"/>
      <c r="AD50" s="179"/>
    </row>
    <row r="51" spans="1:30" s="98" customFormat="1">
      <c r="A51" s="779" t="s">
        <v>90</v>
      </c>
      <c r="B51" s="645"/>
      <c r="C51" s="179"/>
      <c r="D51" s="423">
        <f>IF(D3&gt;'Project Assumptions'!$I$16,0,IF(C51-C52+IF(D49&lt;0,-1*D49,0)&gt;0,C51-C52+IF(D49&lt;0,-1*D49,0),0))</f>
        <v>3061.4725243705284</v>
      </c>
      <c r="E51" s="423">
        <f>IF(E3&gt;'Project Assumptions'!$I$16,0,IF(D51-D52+IF(E49&lt;0,-1*E49,0)&gt;0,D51-D52+IF(E49&lt;0,-1*E49,0),0))</f>
        <v>4602.8592721155346</v>
      </c>
      <c r="F51" s="423">
        <f>IF(F3&gt;'Project Assumptions'!$I$16,0,IF(E51-E52+IF(F49&lt;0,-1*F49,0)&gt;0,E51-E52+IF(F49&lt;0,-1*F49,0),0))</f>
        <v>5490.5816716439185</v>
      </c>
      <c r="G51" s="423">
        <f>IF(G3&gt;'Project Assumptions'!$I$16,0,IF(F51-F52+IF(G49&lt;0,-1*G49,0)&gt;0,F51-F52+IF(G49&lt;0,-1*G49,0),0))</f>
        <v>5780.5269527984028</v>
      </c>
      <c r="H51" s="423">
        <f>IF(H3&gt;'Project Assumptions'!$I$16,0,IF(G51-G52+IF(H49&lt;0,-1*H49,0)&gt;0,G51-G52+IF(H49&lt;0,-1*H49,0),0))</f>
        <v>5780.5269527984028</v>
      </c>
      <c r="I51" s="423">
        <f>IF(I3&gt;'Project Assumptions'!$I$16,0,IF(H51-H52+IF(I49&lt;0,-1*I49,0)&gt;0,H51-H52+IF(I49&lt;0,-1*I49,0),0))</f>
        <v>3459.7828136623839</v>
      </c>
      <c r="J51" s="423">
        <f>IF(J3&gt;'Project Assumptions'!$I$16,0,IF(I51-I52+IF(J49&lt;0,-1*J49,0)&gt;0,I51-I52+IF(J49&lt;0,-1*J49,0),0))</f>
        <v>0</v>
      </c>
      <c r="K51" s="423">
        <f>IF(K3&gt;'Project Assumptions'!$I$16,0,IF(J51-J52+IF(K49&lt;0,-1*K49,0)&gt;0,J51-J52+IF(K49&lt;0,-1*K49,0),0))</f>
        <v>0</v>
      </c>
      <c r="L51" s="423">
        <f>IF(L3&gt;'Project Assumptions'!$I$16,0,IF(K51-K52+IF(L49&lt;0,-1*L49,0)&gt;0,K51-K52+IF(L49&lt;0,-1*L49,0),0))</f>
        <v>0</v>
      </c>
      <c r="M51" s="423">
        <f>IF(M3&gt;'Project Assumptions'!$I$16,0,IF(L51-L52+IF(M49&lt;0,-1*M49,0)&gt;0,L51-L52+IF(M49&lt;0,-1*M49,0),0))</f>
        <v>0</v>
      </c>
      <c r="N51" s="423">
        <f>IF(N3&gt;'Project Assumptions'!$I$16,0,IF(M51-M52+IF(N49&lt;0,-1*N49,0)&gt;0,M51-M52+IF(N49&lt;0,-1*N49,0),0))</f>
        <v>0</v>
      </c>
      <c r="O51" s="423">
        <f>IF(O3&gt;'Project Assumptions'!$I$16,0,IF(N51-N52+IF(O49&lt;0,-1*O49,0)&gt;0,N51-N52+IF(O49&lt;0,-1*O49,0),0))</f>
        <v>0</v>
      </c>
      <c r="P51" s="423">
        <f>IF(P3&gt;'Project Assumptions'!$I$16,0,IF(O51-O52+IF(P49&lt;0,-1*P49,0)&gt;0,O51-O52+IF(P49&lt;0,-1*P49,0),0))</f>
        <v>0</v>
      </c>
      <c r="Q51" s="423">
        <f>IF(Q3&gt;'Project Assumptions'!$I$16,0,IF(P51-P52+IF(Q49&lt;0,-1*Q49,0)&gt;0,P51-P52+IF(Q49&lt;0,-1*Q49,0),0))</f>
        <v>0</v>
      </c>
      <c r="R51" s="423">
        <f>IF(R3&gt;'Project Assumptions'!$I$16,0,IF(Q51-Q52+IF(R49&lt;0,-1*R49,0)&gt;0,Q51-Q52+IF(R49&lt;0,-1*R49,0),0))</f>
        <v>0</v>
      </c>
      <c r="S51" s="423">
        <f>IF(S3&gt;'Project Assumptions'!$I$16,0,IF(R51-R52+IF(S49&lt;0,-1*S49,0)&gt;0,R51-R52+IF(S49&lt;0,-1*S49,0),0))</f>
        <v>0</v>
      </c>
      <c r="T51" s="423">
        <f>IF(T3&gt;'Project Assumptions'!$I$16,0,IF(S51-S52+IF(T49&lt;0,-1*T49,0)&gt;0,S51-S52+IF(T49&lt;0,-1*T49,0),0))</f>
        <v>0</v>
      </c>
      <c r="U51" s="423">
        <f>IF(U3&gt;'Project Assumptions'!$I$16,0,IF(T51-T52+IF(U49&lt;0,-1*U49,0)&gt;0,T51-T52+IF(U49&lt;0,-1*U49,0),0))</f>
        <v>0</v>
      </c>
      <c r="V51" s="423">
        <f>IF(V3&gt;'Project Assumptions'!$I$16,0,IF(U51-U52+IF(V49&lt;0,-1*V49,0)&gt;0,U51-U52+IF(V49&lt;0,-1*V49,0),0))</f>
        <v>0</v>
      </c>
      <c r="W51" s="423">
        <f>IF(W3&gt;'Project Assumptions'!$I$16,0,IF(V51-V52+IF(W49&lt;0,-1*W49,0)&gt;0,V51-V52+IF(W49&lt;0,-1*W49,0),0))</f>
        <v>0</v>
      </c>
      <c r="X51" s="423">
        <f>IF(X3&gt;'Project Assumptions'!$I$16,0,IF(W51-W52+IF(X49&lt;0,-1*X49,0)&gt;0,W51-W52+IF(X49&lt;0,-1*X49,0),0))</f>
        <v>0</v>
      </c>
      <c r="Y51" s="423">
        <f>IF(Y3&gt;'Project Assumptions'!$I$16,0,IF(X51-X52+IF(Y49&lt;0,-1*Y49,0)&gt;0,X51-X52+IF(Y49&lt;0,-1*Y49,0),0))</f>
        <v>0</v>
      </c>
      <c r="Z51" s="423">
        <f>IF(Z3&gt;'Project Assumptions'!$I$16,0,IF(Y51-Y52+IF(Z49&lt;0,-1*Z49,0)&gt;0,Y51-Y52+IF(Z49&lt;0,-1*Z49,0),0))</f>
        <v>0</v>
      </c>
      <c r="AA51" s="423">
        <f>IF(AA3&gt;'Project Assumptions'!$I$16,0,IF(Z51-Z52+IF(AA49&lt;0,-1*AA49,0)&gt;0,Z51-Z52+IF(AA49&lt;0,-1*AA49,0),0))</f>
        <v>0</v>
      </c>
      <c r="AB51" s="912">
        <f>IF(AB3&gt;'Project Assumptions'!$I$16,0,IF(AA51-AA52+IF(AB49&lt;0,-1*AB49,0)&gt;0,AA51-AA52+IF(AB49&lt;0,-1*AB49,0),0))</f>
        <v>0</v>
      </c>
      <c r="AC51" s="179"/>
      <c r="AD51" s="179"/>
    </row>
    <row r="52" spans="1:30" s="98" customFormat="1">
      <c r="A52" s="779" t="s">
        <v>91</v>
      </c>
      <c r="B52" s="645"/>
      <c r="C52" s="179"/>
      <c r="D52" s="423">
        <f>IF('Project Assumptions'!$C$55="No",0,IF(D3&lt;='Project Assumptions'!$C$57,IF(D49&lt;0,0,IF(D51&gt;D49,D49,D51)),0))</f>
        <v>0</v>
      </c>
      <c r="E52" s="423">
        <f>IF('Project Assumptions'!$C$55="No",0,IF(E3&lt;='Project Assumptions'!$C$57,IF(E49&lt;0,0,IF(E51&gt;E49,E49,E51)),0))</f>
        <v>0</v>
      </c>
      <c r="F52" s="423">
        <f>IF('Project Assumptions'!$C$55="No",0,IF(F3&lt;='Project Assumptions'!$C$57,IF(F49&lt;0,0,IF(F51&gt;F49,F49,F51)),0))</f>
        <v>0</v>
      </c>
      <c r="G52" s="423">
        <f>IF('Project Assumptions'!$C$55="No",0,IF(G3&lt;='Project Assumptions'!$C$57,IF(G49&lt;0,0,IF(G51&gt;G49,G49,G51)),0))</f>
        <v>0</v>
      </c>
      <c r="H52" s="423">
        <f>IF('Project Assumptions'!$C$55="No",0,IF(H3&lt;='Project Assumptions'!$C$57,IF(H49&lt;0,0,IF(H51&gt;H49,H49,H51)),0))</f>
        <v>2320.7441391360189</v>
      </c>
      <c r="I52" s="423">
        <f>IF('Project Assumptions'!$C$55="No",0,IF(I3&lt;='Project Assumptions'!$C$57,IF(I49&lt;0,0,IF(I51&gt;I49,I49,I51)),0))</f>
        <v>3459.7828136623839</v>
      </c>
      <c r="J52" s="423">
        <f>IF('Project Assumptions'!$C$55="No",0,IF(J3&lt;='Project Assumptions'!$C$57,IF(J49&lt;0,0,IF(J51&gt;J49,J49,J51)),0))</f>
        <v>0</v>
      </c>
      <c r="K52" s="423">
        <f>IF('Project Assumptions'!$C$55="No",0,IF(K3&lt;='Project Assumptions'!$C$57,IF(K49&lt;0,0,IF(K51&gt;K49,K49,K51)),0))</f>
        <v>0</v>
      </c>
      <c r="L52" s="423">
        <f>IF('Project Assumptions'!$C$55="No",0,IF(L3&lt;='Project Assumptions'!$C$57,IF(L49&lt;0,0,IF(L51&gt;L49,L49,L51)),0))</f>
        <v>0</v>
      </c>
      <c r="M52" s="423">
        <f>IF('Project Assumptions'!$C$55="No",0,IF(M3&lt;='Project Assumptions'!$C$57,IF(M49&lt;0,0,IF(M51&gt;M49,M49,M51)),0))</f>
        <v>0</v>
      </c>
      <c r="N52" s="423">
        <f>IF('Project Assumptions'!$C$55="No",0,IF(N3&lt;='Project Assumptions'!$C$57,IF(N49&lt;0,0,IF(N51&gt;N49,N49,N51)),0))</f>
        <v>0</v>
      </c>
      <c r="O52" s="423">
        <f>IF('Project Assumptions'!$C$55="No",0,IF(O3&lt;='Project Assumptions'!$C$57,IF(O49&lt;0,0,IF(O51&gt;O49,O49,O51)),0))</f>
        <v>0</v>
      </c>
      <c r="P52" s="423">
        <f>IF('Project Assumptions'!$C$55="No",0,IF(P3&lt;='Project Assumptions'!$C$57,IF(P49&lt;0,0,IF(P51&gt;P49,P49,P51)),0))</f>
        <v>0</v>
      </c>
      <c r="Q52" s="423">
        <f>IF('Project Assumptions'!$C$55="No",0,IF(Q3&lt;='Project Assumptions'!$C$57,IF(Q49&lt;0,0,IF(Q51&gt;Q49,Q49,Q51)),0))</f>
        <v>0</v>
      </c>
      <c r="R52" s="423">
        <f>IF('Project Assumptions'!$C$55="No",0,IF(R3&lt;='Project Assumptions'!$C$57,IF(R49&lt;0,0,IF(R51&gt;R49,R49,R51)),0))</f>
        <v>0</v>
      </c>
      <c r="S52" s="423">
        <f>IF('Project Assumptions'!$C$55="No",0,IF(S3&lt;='Project Assumptions'!$C$57,IF(S49&lt;0,0,IF(S51&gt;S49,S49,S51)),0))</f>
        <v>0</v>
      </c>
      <c r="T52" s="423">
        <f>IF('Project Assumptions'!$C$55="No",0,IF(T3&lt;='Project Assumptions'!$C$57,IF(T49&lt;0,0,IF(T51&gt;T49,T49,T51)),0))</f>
        <v>0</v>
      </c>
      <c r="U52" s="423">
        <f>IF('Project Assumptions'!$C$55="No",0,IF(U3&lt;='Project Assumptions'!$C$57,IF(U49&lt;0,0,IF(U51&gt;U49,U49,U51)),0))</f>
        <v>0</v>
      </c>
      <c r="V52" s="423">
        <f>IF('Project Assumptions'!$C$55="No",0,IF(V3&lt;='Project Assumptions'!$C$57,IF(V49&lt;0,0,IF(V51&gt;V49,V49,V51)),0))</f>
        <v>0</v>
      </c>
      <c r="W52" s="423">
        <f>IF('Project Assumptions'!$C$55="No",0,IF(W3&lt;='Project Assumptions'!$C$57,IF(W49&lt;0,0,IF(W51&gt;W49,W49,W51)),0))</f>
        <v>0</v>
      </c>
      <c r="X52" s="423">
        <f>IF('Project Assumptions'!$C$55="No",0,IF(X3&lt;='Project Assumptions'!$C$57,IF(X49&lt;0,0,IF(X51&gt;X49,X49,X51)),0))</f>
        <v>0</v>
      </c>
      <c r="Y52" s="423">
        <f>IF('Project Assumptions'!$C$55="No",0,IF(Y3&lt;='Project Assumptions'!$C$57,IF(Y49&lt;0,0,IF(Y51&gt;Y49,Y49,Y51)),0))</f>
        <v>0</v>
      </c>
      <c r="Z52" s="423">
        <f>IF('Project Assumptions'!$C$55="No",0,IF(Z3&lt;='Project Assumptions'!$C$57,IF(Z49&lt;0,0,IF(Z51&gt;Z49,Z49,Z51)),0))</f>
        <v>0</v>
      </c>
      <c r="AA52" s="423">
        <f>IF('Project Assumptions'!$C$55="No",0,IF(AA3&lt;='Project Assumptions'!$C$57,IF(AA49&lt;0,0,IF(AA51&gt;AA49,AA49,AA51)),0))</f>
        <v>0</v>
      </c>
      <c r="AB52" s="912">
        <f>IF('Project Assumptions'!$C$55="No",0,IF(AB3&lt;='Project Assumptions'!$C$57,IF(AB49&lt;0,0,IF(AB51&gt;AB49,AB49,AB51)),0))</f>
        <v>0</v>
      </c>
      <c r="AC52" s="170"/>
      <c r="AD52" s="170"/>
    </row>
    <row r="53" spans="1:30" s="98" customFormat="1">
      <c r="A53" s="779"/>
      <c r="B53" s="645"/>
      <c r="C53" s="179"/>
      <c r="D53" s="423"/>
      <c r="E53" s="423"/>
      <c r="F53" s="423"/>
      <c r="G53" s="423"/>
      <c r="H53" s="423"/>
      <c r="I53" s="423"/>
      <c r="J53" s="423"/>
      <c r="K53" s="423"/>
      <c r="L53" s="423"/>
      <c r="M53" s="423"/>
      <c r="N53" s="423"/>
      <c r="O53" s="423"/>
      <c r="P53" s="423"/>
      <c r="Q53" s="423"/>
      <c r="R53" s="423"/>
      <c r="S53" s="423"/>
      <c r="T53" s="423"/>
      <c r="U53" s="423"/>
      <c r="V53" s="423"/>
      <c r="W53" s="423"/>
      <c r="X53" s="423"/>
      <c r="Y53" s="423"/>
      <c r="Z53" s="423"/>
      <c r="AA53" s="423"/>
      <c r="AB53" s="912"/>
      <c r="AC53" s="170"/>
      <c r="AD53" s="170"/>
    </row>
    <row r="54" spans="1:30" s="98" customFormat="1">
      <c r="A54" s="533" t="s">
        <v>488</v>
      </c>
      <c r="B54" s="534"/>
      <c r="C54" s="528"/>
      <c r="D54" s="535">
        <f>IF(AND('Project Assumptions'!$C$55="No",D49&lt;0),C49,IF(AND('Project Assumptions'!$C$55="No",D49&gt;0),D49,IF(D49&lt;0,0,(D49-D52))))</f>
        <v>0</v>
      </c>
      <c r="E54" s="535">
        <f>IF(AND('Project Assumptions'!$C$55="No",E49&lt;0),D49,IF(AND('Project Assumptions'!$C$55="No",E49&gt;0),E49,IF(E49&lt;0,0,(E49-E52))))</f>
        <v>0</v>
      </c>
      <c r="F54" s="535">
        <f>IF(AND('Project Assumptions'!$C$55="No",F49&lt;0),E49,IF(AND('Project Assumptions'!$C$55="No",F49&gt;0),F49,IF(F49&lt;0,0,(F49-F52))))</f>
        <v>0</v>
      </c>
      <c r="G54" s="535">
        <f>IF(AND('Project Assumptions'!$C$55="No",G49&lt;0),F49,IF(AND('Project Assumptions'!$C$55="No",G49&gt;0),G49,IF(G49&lt;0,0,(G49-G52))))</f>
        <v>0</v>
      </c>
      <c r="H54" s="535">
        <f>IF(AND('Project Assumptions'!$C$55="No",H49&lt;0),G49,IF(AND('Project Assumptions'!$C$55="No",H49&gt;0),H49,IF(H49&lt;0,0,(H49-H52))))</f>
        <v>0</v>
      </c>
      <c r="I54" s="535">
        <f>IF(AND('Project Assumptions'!$C$55="No",I49&lt;0),H49,IF(AND('Project Assumptions'!$C$55="No",I49&gt;0),I49,IF(I49&lt;0,0,(I49-I52))))</f>
        <v>955.2304577279865</v>
      </c>
      <c r="J54" s="535">
        <f>IF(AND('Project Assumptions'!$C$55="No",J49&lt;0),I49,IF(AND('Project Assumptions'!$C$55="No",J49&gt;0),J49,IF(J49&lt;0,0,(J49-J52))))</f>
        <v>4759.1780428024676</v>
      </c>
      <c r="K54" s="535">
        <f>IF(AND('Project Assumptions'!$C$55="No",K49&lt;0),J49,IF(AND('Project Assumptions'!$C$55="No",K49&gt;0),K49,IF(K49&lt;0,0,(K49-K52))))</f>
        <v>5002.2461082960499</v>
      </c>
      <c r="L54" s="535">
        <f>IF(AND('Project Assumptions'!$C$55="No",L49&lt;0),K49,IF(AND('Project Assumptions'!$C$55="No",L49&gt;0),L49,IF(L49&lt;0,0,(L49-L52))))</f>
        <v>5461.1336011101803</v>
      </c>
      <c r="M54" s="535">
        <f>IF(AND('Project Assumptions'!$C$55="No",M49&lt;0),L49,IF(AND('Project Assumptions'!$C$55="No",M49&gt;0),M49,IF(M49&lt;0,0,(M49-M52))))</f>
        <v>5788.5925011879663</v>
      </c>
      <c r="N54" s="535">
        <f>IF(AND('Project Assumptions'!$C$55="No",N49&lt;0),M49,IF(AND('Project Assumptions'!$C$55="No",N49&gt;0),N49,IF(N49&lt;0,0,(N49-N52))))</f>
        <v>6410.7849569797863</v>
      </c>
      <c r="O54" s="535">
        <f>IF(AND('Project Assumptions'!$C$55="No",O49&lt;0),N49,IF(AND('Project Assumptions'!$C$55="No",O49&gt;0),O49,IF(O49&lt;0,0,(O49-O52))))</f>
        <v>6311.972221517326</v>
      </c>
      <c r="P54" s="535">
        <f>IF(AND('Project Assumptions'!$C$55="No",P49&lt;0),O49,IF(AND('Project Assumptions'!$C$55="No",P49&gt;0),P49,IF(P49&lt;0,0,(P49-P52))))</f>
        <v>6764.8301146714703</v>
      </c>
      <c r="Q54" s="535">
        <f>IF(AND('Project Assumptions'!$C$55="No",Q49&lt;0),P49,IF(AND('Project Assumptions'!$C$55="No",Q49&gt;0),Q49,IF(Q49&lt;0,0,(Q49-Q52))))</f>
        <v>6977.226227111054</v>
      </c>
      <c r="R54" s="535">
        <f>IF(AND('Project Assumptions'!$C$55="No",R49&lt;0),Q49,IF(AND('Project Assumptions'!$C$55="No",R49&gt;0),R49,IF(R49&lt;0,0,(R49-R52))))</f>
        <v>7194.9135292849169</v>
      </c>
      <c r="S54" s="535">
        <f>IF(AND('Project Assumptions'!$C$55="No",S49&lt;0),R49,IF(AND('Project Assumptions'!$C$55="No",S49&gt;0),S49,IF(S49&lt;0,0,(S49-S52))))</f>
        <v>8873.7333182394759</v>
      </c>
      <c r="T54" s="535">
        <f>IF(AND('Project Assumptions'!$C$55="No",T49&lt;0),S49,IF(AND('Project Assumptions'!$C$55="No",T49&gt;0),T49,IF(T49&lt;0,0,(T49-T52))))</f>
        <v>10587.874401863177</v>
      </c>
      <c r="U54" s="535">
        <f>IF(AND('Project Assumptions'!$C$55="No",U49&lt;0),T49,IF(AND('Project Assumptions'!$C$55="No",U49&gt;0),U49,IF(U49&lt;0,0,(U49-U52))))</f>
        <v>10917.990425094413</v>
      </c>
      <c r="V54" s="535">
        <f>IF(AND('Project Assumptions'!$C$55="No",V49&lt;0),U49,IF(AND('Project Assumptions'!$C$55="No",V49&gt;0),V49,IF(V49&lt;0,0,(V49-V52))))</f>
        <v>11247.360149402097</v>
      </c>
      <c r="W54" s="535">
        <f>IF(AND('Project Assumptions'!$C$55="No",W49&lt;0),V49,IF(AND('Project Assumptions'!$C$55="No",W49&gt;0),W49,IF(W49&lt;0,0,(W49-W52))))</f>
        <v>11588.711400514803</v>
      </c>
      <c r="X54" s="535">
        <f>IF(AND('Project Assumptions'!$C$55="No",X49&lt;0),W49,IF(AND('Project Assumptions'!$C$55="No",X49&gt;0),X49,IF(X49&lt;0,0,(X49-X52))))</f>
        <v>11961.720215182842</v>
      </c>
      <c r="Y54" s="535">
        <f>IF(AND('Project Assumptions'!$C$55="No",Y49&lt;0),X49,IF(AND('Project Assumptions'!$C$55="No",Y49&gt;0),Y49,IF(Y49&lt;0,0,(Y49-Y52))))</f>
        <v>0</v>
      </c>
      <c r="Z54" s="535">
        <f>IF(AND('Project Assumptions'!$C$55="No",Z49&lt;0),Y49,IF(AND('Project Assumptions'!$C$55="No",Z49&gt;0),Z49,IF(Z49&lt;0,0,(Z49-Z52))))</f>
        <v>0</v>
      </c>
      <c r="AA54" s="535">
        <f>IF(AND('Project Assumptions'!$C$55="No",AA49&lt;0),Z49,IF(AND('Project Assumptions'!$C$55="No",AA49&gt;0),AA49,IF(AA49&lt;0,0,(AA49-AA52))))</f>
        <v>0</v>
      </c>
      <c r="AB54" s="536">
        <f>IF(AND('Project Assumptions'!$C$55="No",AB49&lt;0),AA49,IF(AND('Project Assumptions'!$C$55="No",AB49&gt;0),AB49,IF(AB49&lt;0,0,(AB49-AB52))))</f>
        <v>0</v>
      </c>
      <c r="AC54" s="170"/>
      <c r="AD54" s="170"/>
    </row>
    <row r="55" spans="1:30" ht="12.75">
      <c r="A55" s="241"/>
      <c r="B55" s="395"/>
      <c r="D55" s="196"/>
      <c r="E55" s="196"/>
      <c r="F55" s="196"/>
      <c r="G55" s="196"/>
      <c r="H55" s="196"/>
      <c r="I55" s="196"/>
      <c r="J55" s="196"/>
      <c r="K55" s="196"/>
      <c r="L55" s="196"/>
      <c r="M55" s="196"/>
      <c r="N55" s="196"/>
      <c r="O55" s="196"/>
      <c r="P55" s="196"/>
      <c r="Q55" s="196"/>
      <c r="R55" s="196"/>
      <c r="S55" s="196"/>
      <c r="T55" s="196"/>
      <c r="U55" s="196"/>
      <c r="V55" s="196"/>
      <c r="W55" s="196"/>
      <c r="X55" s="196"/>
      <c r="Y55" s="196"/>
      <c r="Z55" s="196"/>
      <c r="AA55" s="196"/>
      <c r="AB55" s="196"/>
    </row>
    <row r="56" spans="1:30" ht="12.75">
      <c r="A56" s="241"/>
      <c r="B56" s="395"/>
      <c r="C56" s="434"/>
      <c r="D56" s="196"/>
      <c r="E56" s="196"/>
      <c r="F56" s="196"/>
      <c r="G56" s="196"/>
      <c r="H56" s="196"/>
      <c r="I56" s="196"/>
      <c r="J56" s="196"/>
      <c r="K56" s="196"/>
      <c r="L56" s="196"/>
      <c r="M56" s="196"/>
      <c r="N56" s="196"/>
      <c r="O56" s="196"/>
      <c r="P56" s="196"/>
      <c r="Q56" s="196"/>
      <c r="R56" s="196"/>
      <c r="S56" s="196"/>
      <c r="T56" s="196"/>
      <c r="U56" s="196"/>
      <c r="V56" s="196"/>
      <c r="W56" s="196"/>
      <c r="X56" s="196"/>
      <c r="Y56" s="196"/>
      <c r="Z56" s="196"/>
      <c r="AA56" s="196"/>
      <c r="AB56" s="196"/>
    </row>
    <row r="57" spans="1:30" ht="12.75">
      <c r="A57" s="980" t="s">
        <v>435</v>
      </c>
      <c r="B57" s="641"/>
      <c r="C57" s="641"/>
      <c r="D57" s="641"/>
      <c r="E57" s="641"/>
      <c r="F57" s="641"/>
      <c r="G57" s="641"/>
      <c r="H57" s="641"/>
      <c r="I57" s="641"/>
      <c r="J57" s="641"/>
      <c r="K57" s="641"/>
      <c r="L57" s="641"/>
      <c r="M57" s="641"/>
      <c r="N57" s="641"/>
      <c r="O57" s="641"/>
      <c r="P57" s="641"/>
      <c r="Q57" s="641"/>
      <c r="R57" s="641"/>
      <c r="S57" s="641"/>
      <c r="T57" s="641"/>
      <c r="U57" s="641"/>
      <c r="V57" s="641"/>
      <c r="W57" s="641"/>
      <c r="X57" s="641"/>
      <c r="Y57" s="641"/>
      <c r="Z57" s="641"/>
      <c r="AA57" s="641"/>
      <c r="AB57" s="738"/>
    </row>
    <row r="58" spans="1:30">
      <c r="A58" s="7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782"/>
    </row>
    <row r="59" spans="1:30">
      <c r="A59" s="779" t="s">
        <v>439</v>
      </c>
      <c r="B59" s="179"/>
      <c r="C59" s="179"/>
      <c r="D59" s="812">
        <f>'Cash Flow Statement'!D21+'Cash Flow Statement'!D9</f>
        <v>0</v>
      </c>
      <c r="E59" s="812">
        <f>'Cash Flow Statement'!E21+'Cash Flow Statement'!E9</f>
        <v>0</v>
      </c>
      <c r="F59" s="812">
        <f>'Cash Flow Statement'!F21+'Cash Flow Statement'!F9</f>
        <v>549.16369837411492</v>
      </c>
      <c r="G59" s="812">
        <f>'Cash Flow Statement'!G21+'Cash Flow Statement'!G9</f>
        <v>538.06948224534494</v>
      </c>
      <c r="H59" s="812">
        <f>'Cash Flow Statement'!H21+'Cash Flow Statement'!H9</f>
        <v>526.97526611657486</v>
      </c>
      <c r="I59" s="812">
        <f>'Cash Flow Statement'!I21+'Cash Flow Statement'!I9</f>
        <v>1614.7551855696242</v>
      </c>
      <c r="J59" s="812">
        <f>'Cash Flow Statement'!J21+'Cash Flow Statement'!J9</f>
        <v>5979.6307477596183</v>
      </c>
      <c r="K59" s="812">
        <f>'Cash Flow Statement'!K21+'Cash Flow Statement'!K9</f>
        <v>6248.1561859204576</v>
      </c>
      <c r="L59" s="812">
        <f>'Cash Flow Statement'!L21+'Cash Flow Statement'!L9</f>
        <v>6759.4079925585957</v>
      </c>
      <c r="M59" s="812">
        <f>'Cash Flow Statement'!M21+'Cash Flow Statement'!M9</f>
        <v>7119.4675083045477</v>
      </c>
      <c r="N59" s="812">
        <f>'Cash Flow Statement'!N21+'Cash Flow Statement'!N9</f>
        <v>7818.5814152102539</v>
      </c>
      <c r="O59" s="812">
        <f>'Cash Flow Statement'!O21+'Cash Flow Statement'!O9</f>
        <v>7682.7211895259734</v>
      </c>
      <c r="P59" s="812">
        <f>'Cash Flow Statement'!P21+'Cash Flow Statement'!P9</f>
        <v>8980.2731429953928</v>
      </c>
      <c r="Q59" s="812">
        <f>'Cash Flow Statement'!Q21+'Cash Flow Statement'!Q9</f>
        <v>9141.4018994977105</v>
      </c>
      <c r="R59" s="812">
        <f>'Cash Flow Statement'!R21+'Cash Flow Statement'!R9</f>
        <v>9291.9761891703674</v>
      </c>
      <c r="S59" s="812">
        <f>'Cash Flow Statement'!S21+'Cash Flow Statement'!S9</f>
        <v>11123.402136568186</v>
      </c>
      <c r="T59" s="812">
        <f>'Cash Flow Statement'!T21+'Cash Flow Statement'!T9</f>
        <v>12995.460851517724</v>
      </c>
      <c r="U59" s="812">
        <f>'Cash Flow Statement'!U21+'Cash Flow Statement'!U9</f>
        <v>13242.087788456538</v>
      </c>
      <c r="V59" s="812">
        <f>'Cash Flow Statement'!V21+'Cash Flow Statement'!V9</f>
        <v>13471.214876876606</v>
      </c>
      <c r="W59" s="812">
        <f>'Cash Flow Statement'!W21+'Cash Flow Statement'!W9</f>
        <v>13714.125225455835</v>
      </c>
      <c r="X59" s="812">
        <f>'Cash Flow Statement'!X21+'Cash Flow Statement'!X9</f>
        <v>14093.30161862231</v>
      </c>
      <c r="Y59" s="812">
        <f>'Cash Flow Statement'!Y21+'Cash Flow Statement'!Y9</f>
        <v>0</v>
      </c>
      <c r="Z59" s="812">
        <f>'Cash Flow Statement'!Z21+'Cash Flow Statement'!Z9</f>
        <v>0</v>
      </c>
      <c r="AA59" s="812">
        <f>'Cash Flow Statement'!AA21+'Cash Flow Statement'!AA9</f>
        <v>0</v>
      </c>
      <c r="AB59" s="813">
        <f>'Cash Flow Statement'!AB21+'Cash Flow Statement'!AB9</f>
        <v>0</v>
      </c>
    </row>
    <row r="60" spans="1:30">
      <c r="A60" s="779" t="s">
        <v>440</v>
      </c>
      <c r="B60" s="179"/>
      <c r="C60" s="179"/>
      <c r="D60" s="981">
        <f>'Book Income Statement'!D71+'Cash Flow Statement'!D8</f>
        <v>-1195.0045704192207</v>
      </c>
      <c r="E60" s="981">
        <f>'Book Income Statement'!E71+'Cash Flow Statement'!E8</f>
        <v>2635.6418433956442</v>
      </c>
      <c r="F60" s="981">
        <f>'Book Income Statement'!F71+'Cash Flow Statement'!F8</f>
        <v>2825.6095843864687</v>
      </c>
      <c r="G60" s="981">
        <f>'Book Income Statement'!G71+'Cash Flow Statement'!G8</f>
        <v>2969.3963349291744</v>
      </c>
      <c r="H60" s="981">
        <f>'Book Income Statement'!H71+'Cash Flow Statement'!H8</f>
        <v>5360.0387868704547</v>
      </c>
      <c r="I60" s="981">
        <f>'Book Income Statement'!I71+'Cash Flow Statement'!I8</f>
        <v>7282.3166326101737</v>
      </c>
      <c r="J60" s="981">
        <f>'Book Income Statement'!J71+'Cash Flow Statement'!J8</f>
        <v>7668.845550150847</v>
      </c>
      <c r="K60" s="981">
        <f>'Book Income Statement'!K71+'Cash Flow Statement'!K8</f>
        <v>7933.7724570353021</v>
      </c>
      <c r="L60" s="981">
        <f>'Book Income Statement'!L71+'Cash Flow Statement'!L8</f>
        <v>8439.4036868854382</v>
      </c>
      <c r="M60" s="981">
        <f>'Book Income Statement'!M71+'Cash Flow Statement'!M8</f>
        <v>8805.0837794193922</v>
      </c>
      <c r="N60" s="981">
        <f>'Book Income Statement'!N71+'Cash Flow Statement'!N8</f>
        <v>9493.0300014727127</v>
      </c>
      <c r="O60" s="981">
        <f>'Book Income Statement'!O71+'Cash Flow Statement'!O8</f>
        <v>10161.573913847871</v>
      </c>
      <c r="P60" s="981">
        <f>'Book Income Statement'!P71+'Cash Flow Statement'!P8</f>
        <v>10593.703540549614</v>
      </c>
      <c r="Q60" s="981">
        <f>'Book Income Statement'!Q71+'Cash Flow Statement'!Q8</f>
        <v>10743.811549646776</v>
      </c>
      <c r="R60" s="981">
        <f>'Book Income Statement'!R71+'Cash Flow Statement'!R8</f>
        <v>10888.765262531437</v>
      </c>
      <c r="S60" s="981">
        <f>'Book Income Statement'!S71+'Cash Flow Statement'!S8</f>
        <v>11028.155057469252</v>
      </c>
      <c r="T60" s="981">
        <f>'Book Income Statement'!T71+'Cash Flow Statement'!T8</f>
        <v>11141.158471572482</v>
      </c>
      <c r="U60" s="981">
        <f>'Book Income Statement'!U71+'Cash Flow Statement'!U8</f>
        <v>11337.292834318143</v>
      </c>
      <c r="V60" s="981">
        <f>'Book Income Statement'!V71+'Cash Flow Statement'!V8</f>
        <v>11566.419922738209</v>
      </c>
      <c r="W60" s="981">
        <f>'Book Income Statement'!W71+'Cash Flow Statement'!W8</f>
        <v>11909.178216476372</v>
      </c>
      <c r="X60" s="981">
        <f>'Book Income Statement'!X71+'Cash Flow Statement'!X8</f>
        <v>12324.411363472311</v>
      </c>
      <c r="Y60" s="981">
        <f>'Book Income Statement'!Y71+'Cash Flow Statement'!Y8</f>
        <v>0</v>
      </c>
      <c r="Z60" s="981">
        <f>'Book Income Statement'!Z71+'Cash Flow Statement'!Z8</f>
        <v>0</v>
      </c>
      <c r="AA60" s="981">
        <f>'Book Income Statement'!AA71+'Cash Flow Statement'!AA8</f>
        <v>0</v>
      </c>
      <c r="AB60" s="982">
        <f>'Book Income Statement'!AB71+'Cash Flow Statement'!AB8</f>
        <v>0</v>
      </c>
    </row>
    <row r="61" spans="1:30">
      <c r="A61" s="779" t="s">
        <v>441</v>
      </c>
      <c r="B61" s="179"/>
      <c r="C61" s="179"/>
      <c r="D61" s="812">
        <f>D60-D59</f>
        <v>-1195.0045704192207</v>
      </c>
      <c r="E61" s="812">
        <f t="shared" ref="E61:AB61" si="20">E60-E59</f>
        <v>2635.6418433956442</v>
      </c>
      <c r="F61" s="812">
        <f t="shared" si="20"/>
        <v>2276.4458860123536</v>
      </c>
      <c r="G61" s="812">
        <f t="shared" si="20"/>
        <v>2431.3268526838292</v>
      </c>
      <c r="H61" s="812">
        <f t="shared" si="20"/>
        <v>4833.0635207538799</v>
      </c>
      <c r="I61" s="812">
        <f t="shared" si="20"/>
        <v>5667.561447040549</v>
      </c>
      <c r="J61" s="812">
        <f t="shared" si="20"/>
        <v>1689.2148023912287</v>
      </c>
      <c r="K61" s="812">
        <f t="shared" si="20"/>
        <v>1685.6162711148445</v>
      </c>
      <c r="L61" s="812">
        <f t="shared" si="20"/>
        <v>1679.9956943268426</v>
      </c>
      <c r="M61" s="812">
        <f t="shared" si="20"/>
        <v>1685.6162711148445</v>
      </c>
      <c r="N61" s="812">
        <f t="shared" si="20"/>
        <v>1674.4485862624588</v>
      </c>
      <c r="O61" s="812">
        <f t="shared" si="20"/>
        <v>2478.8527243218978</v>
      </c>
      <c r="P61" s="812">
        <f t="shared" si="20"/>
        <v>1613.4303975542207</v>
      </c>
      <c r="Q61" s="812">
        <f t="shared" si="20"/>
        <v>1602.4096501490658</v>
      </c>
      <c r="R61" s="812">
        <f t="shared" si="20"/>
        <v>1596.7890733610693</v>
      </c>
      <c r="S61" s="812">
        <f t="shared" si="20"/>
        <v>-95.247079098933682</v>
      </c>
      <c r="T61" s="812">
        <f t="shared" si="20"/>
        <v>-1854.3023799452421</v>
      </c>
      <c r="U61" s="812">
        <f t="shared" si="20"/>
        <v>-1904.794954138395</v>
      </c>
      <c r="V61" s="812">
        <f t="shared" si="20"/>
        <v>-1904.7949541383969</v>
      </c>
      <c r="W61" s="812">
        <f t="shared" si="20"/>
        <v>-1804.9470089794631</v>
      </c>
      <c r="X61" s="812">
        <f t="shared" si="20"/>
        <v>-1768.8902551499996</v>
      </c>
      <c r="Y61" s="812">
        <f t="shared" si="20"/>
        <v>0</v>
      </c>
      <c r="Z61" s="812">
        <f t="shared" si="20"/>
        <v>0</v>
      </c>
      <c r="AA61" s="812">
        <f t="shared" si="20"/>
        <v>0</v>
      </c>
      <c r="AB61" s="813">
        <f t="shared" si="20"/>
        <v>0</v>
      </c>
    </row>
    <row r="62" spans="1:30">
      <c r="A62" s="779"/>
      <c r="B62" s="179"/>
      <c r="C62" s="179"/>
      <c r="D62" s="812"/>
      <c r="E62" s="812"/>
      <c r="F62" s="812"/>
      <c r="G62" s="812"/>
      <c r="H62" s="812"/>
      <c r="I62" s="812"/>
      <c r="J62" s="812"/>
      <c r="K62" s="812"/>
      <c r="L62" s="812"/>
      <c r="M62" s="812"/>
      <c r="N62" s="812"/>
      <c r="O62" s="812"/>
      <c r="P62" s="812"/>
      <c r="Q62" s="812"/>
      <c r="R62" s="812"/>
      <c r="S62" s="812"/>
      <c r="T62" s="812"/>
      <c r="U62" s="812"/>
      <c r="V62" s="812"/>
      <c r="W62" s="812"/>
      <c r="X62" s="812"/>
      <c r="Y62" s="812"/>
      <c r="Z62" s="812"/>
      <c r="AA62" s="812"/>
      <c r="AB62" s="813"/>
    </row>
    <row r="63" spans="1:30">
      <c r="A63" s="814" t="s">
        <v>442</v>
      </c>
      <c r="B63" s="739"/>
      <c r="C63" s="739"/>
      <c r="D63" s="983">
        <f>D61+C63</f>
        <v>-1195.0045704192207</v>
      </c>
      <c r="E63" s="983">
        <f t="shared" ref="E63:AB63" si="21">E61+D63</f>
        <v>1440.6372729764234</v>
      </c>
      <c r="F63" s="983">
        <f t="shared" si="21"/>
        <v>3717.0831589887771</v>
      </c>
      <c r="G63" s="983">
        <f t="shared" si="21"/>
        <v>6148.4100116726058</v>
      </c>
      <c r="H63" s="983">
        <f t="shared" si="21"/>
        <v>10981.473532426486</v>
      </c>
      <c r="I63" s="983">
        <f t="shared" si="21"/>
        <v>16649.034979467033</v>
      </c>
      <c r="J63" s="983">
        <f t="shared" si="21"/>
        <v>18338.249781858263</v>
      </c>
      <c r="K63" s="983">
        <f t="shared" si="21"/>
        <v>20023.866052973106</v>
      </c>
      <c r="L63" s="983">
        <f t="shared" si="21"/>
        <v>21703.861747299947</v>
      </c>
      <c r="M63" s="983">
        <f t="shared" si="21"/>
        <v>23389.478018414789</v>
      </c>
      <c r="N63" s="983">
        <f t="shared" si="21"/>
        <v>25063.926604677246</v>
      </c>
      <c r="O63" s="983">
        <f t="shared" si="21"/>
        <v>27542.779328999146</v>
      </c>
      <c r="P63" s="983">
        <f t="shared" si="21"/>
        <v>29156.209726553367</v>
      </c>
      <c r="Q63" s="983">
        <f t="shared" si="21"/>
        <v>30758.619376702431</v>
      </c>
      <c r="R63" s="983">
        <f t="shared" si="21"/>
        <v>32355.4084500635</v>
      </c>
      <c r="S63" s="983">
        <f t="shared" si="21"/>
        <v>32260.161370964568</v>
      </c>
      <c r="T63" s="983">
        <f t="shared" si="21"/>
        <v>30405.858991019326</v>
      </c>
      <c r="U63" s="983">
        <f t="shared" si="21"/>
        <v>28501.064036880933</v>
      </c>
      <c r="V63" s="983">
        <f t="shared" si="21"/>
        <v>26596.269082742536</v>
      </c>
      <c r="W63" s="983">
        <f t="shared" si="21"/>
        <v>24791.322073763073</v>
      </c>
      <c r="X63" s="983">
        <f t="shared" si="21"/>
        <v>23022.431818613073</v>
      </c>
      <c r="Y63" s="983">
        <f t="shared" si="21"/>
        <v>23022.431818613073</v>
      </c>
      <c r="Z63" s="983">
        <f t="shared" si="21"/>
        <v>23022.431818613073</v>
      </c>
      <c r="AA63" s="983">
        <f t="shared" si="21"/>
        <v>23022.431818613073</v>
      </c>
      <c r="AB63" s="984">
        <f t="shared" si="21"/>
        <v>23022.431818613073</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75" right="0.75" top="1" bottom="1" header="0.5" footer="0.5"/>
  <pageSetup scale="39" orientation="landscape" r:id="rId3"/>
  <headerFooter alignWithMargins="0">
    <oddFooter>&amp;L&amp;D   &amp;T&amp;R&amp;F
&amp;A &amp;P</oddFooter>
  </headerFooter>
  <colBreaks count="2" manualBreakCount="2">
    <brk id="23" max="1048575" man="1"/>
    <brk id="3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118"/>
  <sheetViews>
    <sheetView topLeftCell="J33" workbookViewId="0">
      <selection activeCell="X53" sqref="X53"/>
    </sheetView>
  </sheetViews>
  <sheetFormatPr defaultColWidth="9.28515625" defaultRowHeight="11.25"/>
  <cols>
    <col min="1" max="1" width="24" style="170" customWidth="1"/>
    <col min="2" max="2" width="9.28515625" style="170" customWidth="1"/>
    <col min="3" max="3" width="5.5703125" style="170" customWidth="1"/>
    <col min="4" max="4" width="9.28515625" style="170" customWidth="1"/>
    <col min="5" max="5" width="10.85546875" style="170" customWidth="1"/>
    <col min="6" max="26" width="9.28515625" style="170" customWidth="1"/>
    <col min="27" max="16384" width="9.28515625" style="14"/>
  </cols>
  <sheetData>
    <row r="1" spans="1:31" s="27" customFormat="1" ht="20.25">
      <c r="A1" s="634" t="str">
        <f>'Project Assumptions'!$A$2</f>
        <v>CALEDONIA, Lowndes County, MS</v>
      </c>
      <c r="B1" s="734"/>
      <c r="C1" s="746"/>
      <c r="D1" s="747"/>
      <c r="E1" s="185"/>
      <c r="F1" s="185"/>
      <c r="G1" s="185"/>
      <c r="H1" s="185"/>
      <c r="I1" s="185"/>
      <c r="J1" s="185"/>
      <c r="K1" s="185"/>
      <c r="L1" s="185"/>
      <c r="M1" s="185"/>
      <c r="N1" s="185"/>
      <c r="O1" s="185"/>
      <c r="P1" s="185"/>
      <c r="Q1" s="185"/>
      <c r="R1" s="185"/>
      <c r="S1" s="185"/>
      <c r="T1" s="185"/>
      <c r="U1" s="185"/>
      <c r="V1" s="185"/>
      <c r="W1" s="185"/>
      <c r="X1" s="185"/>
      <c r="Y1" s="185"/>
      <c r="Z1" s="185"/>
      <c r="AA1" s="5"/>
      <c r="AB1" s="5"/>
    </row>
    <row r="2" spans="1:31" s="27" customFormat="1" ht="12.75">
      <c r="A2" s="637" t="s">
        <v>40</v>
      </c>
      <c r="B2" s="748"/>
      <c r="C2" s="748"/>
      <c r="D2" s="745"/>
      <c r="E2" s="186"/>
      <c r="F2" s="186"/>
      <c r="G2" s="186"/>
      <c r="H2" s="186"/>
      <c r="I2" s="186"/>
      <c r="J2" s="186"/>
      <c r="K2" s="186"/>
      <c r="L2" s="186"/>
      <c r="M2" s="186"/>
      <c r="N2" s="186"/>
      <c r="O2" s="186"/>
      <c r="P2" s="186"/>
      <c r="Q2" s="186"/>
      <c r="R2" s="186"/>
      <c r="S2" s="186"/>
      <c r="T2" s="186"/>
      <c r="U2" s="186"/>
      <c r="V2" s="186"/>
      <c r="W2" s="186"/>
      <c r="X2" s="186"/>
      <c r="Y2" s="186"/>
      <c r="Z2" s="186"/>
      <c r="AA2" s="28"/>
      <c r="AB2" s="28"/>
    </row>
    <row r="3" spans="1:31" ht="15.6" customHeight="1"/>
    <row r="4" spans="1:31">
      <c r="D4" s="184">
        <v>1</v>
      </c>
      <c r="E4" s="184">
        <f>D4+1</f>
        <v>2</v>
      </c>
      <c r="F4" s="184">
        <f t="shared" ref="F4:W4" si="0">E4+1</f>
        <v>3</v>
      </c>
      <c r="G4" s="184">
        <f t="shared" si="0"/>
        <v>4</v>
      </c>
      <c r="H4" s="184">
        <f t="shared" si="0"/>
        <v>5</v>
      </c>
      <c r="I4" s="187">
        <f t="shared" si="0"/>
        <v>6</v>
      </c>
      <c r="J4" s="184">
        <f t="shared" si="0"/>
        <v>7</v>
      </c>
      <c r="K4" s="188">
        <f t="shared" si="0"/>
        <v>8</v>
      </c>
      <c r="L4" s="184">
        <f t="shared" si="0"/>
        <v>9</v>
      </c>
      <c r="M4" s="184">
        <f t="shared" si="0"/>
        <v>10</v>
      </c>
      <c r="N4" s="184">
        <f t="shared" si="0"/>
        <v>11</v>
      </c>
      <c r="O4" s="184">
        <f t="shared" si="0"/>
        <v>12</v>
      </c>
      <c r="P4" s="184">
        <f t="shared" si="0"/>
        <v>13</v>
      </c>
      <c r="Q4" s="188">
        <f t="shared" si="0"/>
        <v>14</v>
      </c>
      <c r="R4" s="184">
        <f t="shared" si="0"/>
        <v>15</v>
      </c>
      <c r="S4" s="184">
        <f t="shared" si="0"/>
        <v>16</v>
      </c>
      <c r="T4" s="184">
        <f t="shared" si="0"/>
        <v>17</v>
      </c>
      <c r="U4" s="184">
        <f t="shared" si="0"/>
        <v>18</v>
      </c>
      <c r="V4" s="184">
        <f t="shared" si="0"/>
        <v>19</v>
      </c>
      <c r="W4" s="188">
        <f t="shared" si="0"/>
        <v>20</v>
      </c>
      <c r="X4" s="188">
        <f>W4+1</f>
        <v>21</v>
      </c>
      <c r="Y4" s="184"/>
      <c r="Z4" s="184"/>
      <c r="AA4" s="1"/>
      <c r="AB4" s="1"/>
    </row>
    <row r="5" spans="1:31" ht="12" customHeight="1">
      <c r="A5" s="985" t="s">
        <v>239</v>
      </c>
      <c r="B5" s="641"/>
      <c r="C5" s="986"/>
      <c r="D5" s="759">
        <f>YEAR('Project Assumptions'!I17)</f>
        <v>1999</v>
      </c>
      <c r="E5" s="759">
        <f>D5+1</f>
        <v>2000</v>
      </c>
      <c r="F5" s="759">
        <f t="shared" ref="F5:W5" si="1">E5+1</f>
        <v>2001</v>
      </c>
      <c r="G5" s="759">
        <f t="shared" si="1"/>
        <v>2002</v>
      </c>
      <c r="H5" s="759">
        <f t="shared" si="1"/>
        <v>2003</v>
      </c>
      <c r="I5" s="759">
        <f t="shared" si="1"/>
        <v>2004</v>
      </c>
      <c r="J5" s="759">
        <f t="shared" si="1"/>
        <v>2005</v>
      </c>
      <c r="K5" s="759">
        <f t="shared" si="1"/>
        <v>2006</v>
      </c>
      <c r="L5" s="759">
        <f t="shared" si="1"/>
        <v>2007</v>
      </c>
      <c r="M5" s="759">
        <f t="shared" si="1"/>
        <v>2008</v>
      </c>
      <c r="N5" s="759">
        <f t="shared" si="1"/>
        <v>2009</v>
      </c>
      <c r="O5" s="759">
        <f t="shared" si="1"/>
        <v>2010</v>
      </c>
      <c r="P5" s="759">
        <f t="shared" si="1"/>
        <v>2011</v>
      </c>
      <c r="Q5" s="759">
        <f t="shared" si="1"/>
        <v>2012</v>
      </c>
      <c r="R5" s="759">
        <f t="shared" si="1"/>
        <v>2013</v>
      </c>
      <c r="S5" s="759">
        <f t="shared" si="1"/>
        <v>2014</v>
      </c>
      <c r="T5" s="759">
        <f t="shared" si="1"/>
        <v>2015</v>
      </c>
      <c r="U5" s="759">
        <f t="shared" si="1"/>
        <v>2016</v>
      </c>
      <c r="V5" s="759">
        <f t="shared" si="1"/>
        <v>2017</v>
      </c>
      <c r="W5" s="759">
        <f t="shared" si="1"/>
        <v>2018</v>
      </c>
      <c r="X5" s="760">
        <f>W5+1</f>
        <v>2019</v>
      </c>
      <c r="Y5" s="189"/>
      <c r="Z5" s="189"/>
      <c r="AA5" s="39"/>
      <c r="AB5" s="39"/>
      <c r="AC5" s="30"/>
      <c r="AD5" s="30"/>
    </row>
    <row r="6" spans="1:31" ht="12" customHeight="1">
      <c r="A6" s="779"/>
      <c r="B6" s="436" t="s">
        <v>0</v>
      </c>
      <c r="C6" s="179"/>
      <c r="D6" s="987"/>
      <c r="E6" s="988"/>
      <c r="F6" s="988"/>
      <c r="G6" s="988"/>
      <c r="H6" s="988"/>
      <c r="I6" s="988"/>
      <c r="J6" s="988"/>
      <c r="K6" s="988"/>
      <c r="L6" s="988"/>
      <c r="M6" s="988"/>
      <c r="N6" s="988"/>
      <c r="O6" s="988"/>
      <c r="P6" s="988"/>
      <c r="Q6" s="988"/>
      <c r="R6" s="988"/>
      <c r="S6" s="179"/>
      <c r="T6" s="179"/>
      <c r="U6" s="179"/>
      <c r="V6" s="179"/>
      <c r="W6" s="179"/>
      <c r="X6" s="782"/>
      <c r="AE6" s="31"/>
    </row>
    <row r="7" spans="1:31" ht="12" customHeight="1">
      <c r="A7" s="910" t="s">
        <v>247</v>
      </c>
      <c r="B7" s="989">
        <v>15</v>
      </c>
      <c r="C7" s="420"/>
      <c r="D7" s="990">
        <f t="shared" ref="D7:W7" si="2">IF(D4&gt;$B$7+1,0,IF($B$7=15,VLOOKUP(D4,$A$78:$B$93,2),VLOOKUP(D4,$A$98:$B$118,2)))</f>
        <v>0.05</v>
      </c>
      <c r="E7" s="990">
        <f t="shared" si="2"/>
        <v>9.5000000000000001E-2</v>
      </c>
      <c r="F7" s="990">
        <f t="shared" si="2"/>
        <v>8.5500000000000007E-2</v>
      </c>
      <c r="G7" s="990">
        <f t="shared" si="2"/>
        <v>7.6999999999999999E-2</v>
      </c>
      <c r="H7" s="990">
        <f t="shared" si="2"/>
        <v>6.93E-2</v>
      </c>
      <c r="I7" s="990">
        <f t="shared" si="2"/>
        <v>6.2300000000000001E-2</v>
      </c>
      <c r="J7" s="990">
        <f t="shared" si="2"/>
        <v>5.8999999999999997E-2</v>
      </c>
      <c r="K7" s="990">
        <f t="shared" si="2"/>
        <v>5.91E-2</v>
      </c>
      <c r="L7" s="990">
        <f t="shared" si="2"/>
        <v>5.8999999999999997E-2</v>
      </c>
      <c r="M7" s="990">
        <f t="shared" si="2"/>
        <v>5.91E-2</v>
      </c>
      <c r="N7" s="990">
        <f t="shared" si="2"/>
        <v>5.8999999999999997E-2</v>
      </c>
      <c r="O7" s="990">
        <f t="shared" si="2"/>
        <v>5.91E-2</v>
      </c>
      <c r="P7" s="990">
        <f t="shared" si="2"/>
        <v>5.8999999999999997E-2</v>
      </c>
      <c r="Q7" s="990">
        <f t="shared" si="2"/>
        <v>5.91E-2</v>
      </c>
      <c r="R7" s="990">
        <f t="shared" si="2"/>
        <v>5.8999999999999997E-2</v>
      </c>
      <c r="S7" s="990">
        <f t="shared" si="2"/>
        <v>2.9499999999999998E-2</v>
      </c>
      <c r="T7" s="990">
        <f t="shared" si="2"/>
        <v>0</v>
      </c>
      <c r="U7" s="990">
        <f t="shared" si="2"/>
        <v>0</v>
      </c>
      <c r="V7" s="990">
        <f t="shared" si="2"/>
        <v>0</v>
      </c>
      <c r="W7" s="990">
        <f t="shared" si="2"/>
        <v>0</v>
      </c>
      <c r="X7" s="991">
        <f>IF(X4&gt;$B$7+1,0,IF($B$7=15,VLOOKUP(X4,$A$78:$B$93,2),VLOOKUP(X4,$A$98:$B$118,2)))</f>
        <v>0</v>
      </c>
      <c r="Y7" s="194"/>
      <c r="Z7" s="194"/>
      <c r="AA7" s="97"/>
      <c r="AB7" s="97"/>
      <c r="AC7" s="32"/>
      <c r="AD7" s="32"/>
      <c r="AE7" s="33"/>
    </row>
    <row r="8" spans="1:31" ht="12" customHeight="1">
      <c r="A8" s="910" t="s">
        <v>241</v>
      </c>
      <c r="B8" s="989">
        <v>5</v>
      </c>
      <c r="C8" s="992"/>
      <c r="D8" s="990">
        <f>IF(D4&gt;$B$8,0,1/$B$8)*'Book Income Statement'!D$6/12</f>
        <v>8.3333333333333329E-2</v>
      </c>
      <c r="E8" s="990">
        <f>IF(E$4&lt;=$B8,(1/$B8),IF(E$4=$B8+1,(1/$B8)-$D8,0))</f>
        <v>0.2</v>
      </c>
      <c r="F8" s="990">
        <f t="shared" ref="F8:W8" si="3">IF(F4&lt;=$B$8,(1/$B$8),IF(F4=$B$8+1,(1/$B$8)-$D$8,0))</f>
        <v>0.2</v>
      </c>
      <c r="G8" s="990">
        <f t="shared" si="3"/>
        <v>0.2</v>
      </c>
      <c r="H8" s="990">
        <f t="shared" si="3"/>
        <v>0.2</v>
      </c>
      <c r="I8" s="990">
        <f t="shared" si="3"/>
        <v>0.11666666666666668</v>
      </c>
      <c r="J8" s="990">
        <f t="shared" si="3"/>
        <v>0</v>
      </c>
      <c r="K8" s="990">
        <f t="shared" si="3"/>
        <v>0</v>
      </c>
      <c r="L8" s="990">
        <f t="shared" si="3"/>
        <v>0</v>
      </c>
      <c r="M8" s="990">
        <f t="shared" si="3"/>
        <v>0</v>
      </c>
      <c r="N8" s="990">
        <f t="shared" si="3"/>
        <v>0</v>
      </c>
      <c r="O8" s="990">
        <f t="shared" si="3"/>
        <v>0</v>
      </c>
      <c r="P8" s="990">
        <f t="shared" si="3"/>
        <v>0</v>
      </c>
      <c r="Q8" s="990">
        <f t="shared" si="3"/>
        <v>0</v>
      </c>
      <c r="R8" s="990">
        <f t="shared" si="3"/>
        <v>0</v>
      </c>
      <c r="S8" s="990">
        <f t="shared" si="3"/>
        <v>0</v>
      </c>
      <c r="T8" s="990">
        <f t="shared" si="3"/>
        <v>0</v>
      </c>
      <c r="U8" s="990">
        <f t="shared" si="3"/>
        <v>0</v>
      </c>
      <c r="V8" s="990">
        <f t="shared" si="3"/>
        <v>0</v>
      </c>
      <c r="W8" s="990">
        <f t="shared" si="3"/>
        <v>0</v>
      </c>
      <c r="X8" s="991">
        <f>IF(X4&lt;=$B$8,(1/$B$8),IF(X4=$B$8+1,(1/$B$8)-$D$8,0))</f>
        <v>0</v>
      </c>
      <c r="Y8" s="194"/>
      <c r="Z8" s="194"/>
      <c r="AA8" s="97"/>
      <c r="AB8" s="97"/>
      <c r="AC8" s="32"/>
      <c r="AD8" s="32"/>
      <c r="AE8" s="33"/>
    </row>
    <row r="9" spans="1:31" ht="12" customHeight="1">
      <c r="A9" s="910" t="s">
        <v>93</v>
      </c>
      <c r="B9" s="992">
        <f>MAX('Project Assumptions'!$F$40, 'Project Assumptions'!$G$40,'Project Assumptions'!$H$40)</f>
        <v>20</v>
      </c>
      <c r="C9" s="993"/>
      <c r="D9" s="990">
        <f>IF(D4&gt;$B$9,0,(1/$B$9))*'Book Income Statement'!D$6/12</f>
        <v>2.0833333333333332E-2</v>
      </c>
      <c r="E9" s="990">
        <f>IF(E$4&lt;=$B$9,(1/$B$9),IF(E$4=$B$9+1,(1/$B$9)-$D$9,0))</f>
        <v>0.05</v>
      </c>
      <c r="F9" s="990">
        <f t="shared" ref="F9:X9" si="4">IF(F$4&lt;=$B$9,(1/$B$9),IF(F$4=$B$9+1,(1/$B$9)-$D$9,0))</f>
        <v>0.05</v>
      </c>
      <c r="G9" s="990">
        <f t="shared" si="4"/>
        <v>0.05</v>
      </c>
      <c r="H9" s="990">
        <f t="shared" si="4"/>
        <v>0.05</v>
      </c>
      <c r="I9" s="990">
        <f t="shared" si="4"/>
        <v>0.05</v>
      </c>
      <c r="J9" s="990">
        <f t="shared" si="4"/>
        <v>0.05</v>
      </c>
      <c r="K9" s="990">
        <f t="shared" si="4"/>
        <v>0.05</v>
      </c>
      <c r="L9" s="990">
        <f t="shared" si="4"/>
        <v>0.05</v>
      </c>
      <c r="M9" s="990">
        <f t="shared" si="4"/>
        <v>0.05</v>
      </c>
      <c r="N9" s="990">
        <f t="shared" si="4"/>
        <v>0.05</v>
      </c>
      <c r="O9" s="990">
        <f t="shared" si="4"/>
        <v>0.05</v>
      </c>
      <c r="P9" s="990">
        <f t="shared" si="4"/>
        <v>0.05</v>
      </c>
      <c r="Q9" s="990">
        <f t="shared" si="4"/>
        <v>0.05</v>
      </c>
      <c r="R9" s="990">
        <f t="shared" si="4"/>
        <v>0.05</v>
      </c>
      <c r="S9" s="990">
        <f t="shared" si="4"/>
        <v>0.05</v>
      </c>
      <c r="T9" s="990">
        <f t="shared" si="4"/>
        <v>0.05</v>
      </c>
      <c r="U9" s="990">
        <f t="shared" si="4"/>
        <v>0.05</v>
      </c>
      <c r="V9" s="990">
        <f t="shared" si="4"/>
        <v>0.05</v>
      </c>
      <c r="W9" s="990">
        <f t="shared" si="4"/>
        <v>0.05</v>
      </c>
      <c r="X9" s="991">
        <f t="shared" si="4"/>
        <v>2.9166666666666671E-2</v>
      </c>
      <c r="Y9" s="194"/>
      <c r="Z9" s="194"/>
      <c r="AA9" s="97"/>
      <c r="AB9" s="97"/>
      <c r="AC9" s="32"/>
      <c r="AD9" s="32"/>
      <c r="AE9" s="33"/>
    </row>
    <row r="10" spans="1:31" ht="12" customHeight="1">
      <c r="A10" s="779"/>
      <c r="B10" s="992"/>
      <c r="C10" s="179"/>
      <c r="D10" s="988"/>
      <c r="E10" s="179"/>
      <c r="F10" s="179"/>
      <c r="G10" s="179"/>
      <c r="H10" s="179"/>
      <c r="I10" s="179"/>
      <c r="J10" s="179"/>
      <c r="K10" s="179"/>
      <c r="L10" s="179"/>
      <c r="M10" s="179"/>
      <c r="N10" s="179"/>
      <c r="O10" s="179"/>
      <c r="P10" s="179"/>
      <c r="Q10" s="179"/>
      <c r="R10" s="179"/>
      <c r="S10" s="179"/>
      <c r="T10" s="179"/>
      <c r="U10" s="179"/>
      <c r="V10" s="179"/>
      <c r="W10" s="179"/>
      <c r="X10" s="782"/>
    </row>
    <row r="11" spans="1:31" ht="12" customHeight="1">
      <c r="A11" s="910" t="s">
        <v>248</v>
      </c>
      <c r="B11" s="447">
        <f>'Project Assumptions'!C23-'Project Assumptions'!C18+'Project Assumptions'!C46+'Project Assumptions'!C27</f>
        <v>149943.18400000001</v>
      </c>
      <c r="C11" s="420"/>
      <c r="D11" s="447">
        <f>$B$11*D7</f>
        <v>7497.159200000001</v>
      </c>
      <c r="E11" s="447">
        <f t="shared" ref="E11:W11" si="5">$B$11*E7</f>
        <v>14244.602480000001</v>
      </c>
      <c r="F11" s="447">
        <f t="shared" si="5"/>
        <v>12820.142232000002</v>
      </c>
      <c r="G11" s="447">
        <f t="shared" si="5"/>
        <v>11545.625168</v>
      </c>
      <c r="H11" s="447">
        <f t="shared" si="5"/>
        <v>10391.0626512</v>
      </c>
      <c r="I11" s="447">
        <f t="shared" si="5"/>
        <v>9341.4603631999998</v>
      </c>
      <c r="J11" s="447">
        <f t="shared" si="5"/>
        <v>8846.6478559999996</v>
      </c>
      <c r="K11" s="447">
        <f t="shared" si="5"/>
        <v>8861.6421743999999</v>
      </c>
      <c r="L11" s="447">
        <f t="shared" si="5"/>
        <v>8846.6478559999996</v>
      </c>
      <c r="M11" s="447">
        <f t="shared" si="5"/>
        <v>8861.6421743999999</v>
      </c>
      <c r="N11" s="447">
        <f t="shared" si="5"/>
        <v>8846.6478559999996</v>
      </c>
      <c r="O11" s="447">
        <f t="shared" si="5"/>
        <v>8861.6421743999999</v>
      </c>
      <c r="P11" s="447">
        <f t="shared" si="5"/>
        <v>8846.6478559999996</v>
      </c>
      <c r="Q11" s="447">
        <f t="shared" si="5"/>
        <v>8861.6421743999999</v>
      </c>
      <c r="R11" s="447">
        <f t="shared" si="5"/>
        <v>8846.6478559999996</v>
      </c>
      <c r="S11" s="447">
        <f t="shared" si="5"/>
        <v>4423.3239279999998</v>
      </c>
      <c r="T11" s="447">
        <f t="shared" si="5"/>
        <v>0</v>
      </c>
      <c r="U11" s="447">
        <f t="shared" si="5"/>
        <v>0</v>
      </c>
      <c r="V11" s="447">
        <f t="shared" si="5"/>
        <v>0</v>
      </c>
      <c r="W11" s="447">
        <f t="shared" si="5"/>
        <v>0</v>
      </c>
      <c r="X11" s="893">
        <f>$B$11*X7</f>
        <v>0</v>
      </c>
      <c r="Y11" s="195"/>
      <c r="Z11" s="195"/>
      <c r="AA11" s="34"/>
      <c r="AB11" s="34"/>
      <c r="AC11" s="17"/>
      <c r="AD11" s="17"/>
      <c r="AE11" s="17"/>
    </row>
    <row r="12" spans="1:31" ht="15" customHeight="1">
      <c r="A12" s="910" t="s">
        <v>242</v>
      </c>
      <c r="B12" s="423">
        <f>'Project Assumptions'!C34-'Project Assumptions'!C27</f>
        <v>3020.0940000000001</v>
      </c>
      <c r="C12" s="420"/>
      <c r="D12" s="423">
        <f>$B$12*D8</f>
        <v>251.67449999999999</v>
      </c>
      <c r="E12" s="423">
        <f t="shared" ref="E12:W12" si="6">$B$12*E8</f>
        <v>604.01880000000006</v>
      </c>
      <c r="F12" s="423">
        <f t="shared" si="6"/>
        <v>604.01880000000006</v>
      </c>
      <c r="G12" s="423">
        <f t="shared" si="6"/>
        <v>604.01880000000006</v>
      </c>
      <c r="H12" s="423">
        <f t="shared" si="6"/>
        <v>604.01880000000006</v>
      </c>
      <c r="I12" s="423">
        <f t="shared" si="6"/>
        <v>352.34430000000003</v>
      </c>
      <c r="J12" s="423">
        <f t="shared" si="6"/>
        <v>0</v>
      </c>
      <c r="K12" s="423">
        <f t="shared" si="6"/>
        <v>0</v>
      </c>
      <c r="L12" s="423">
        <f t="shared" si="6"/>
        <v>0</v>
      </c>
      <c r="M12" s="423">
        <f t="shared" si="6"/>
        <v>0</v>
      </c>
      <c r="N12" s="423">
        <f t="shared" si="6"/>
        <v>0</v>
      </c>
      <c r="O12" s="423">
        <f t="shared" si="6"/>
        <v>0</v>
      </c>
      <c r="P12" s="423">
        <f t="shared" si="6"/>
        <v>0</v>
      </c>
      <c r="Q12" s="423">
        <f t="shared" si="6"/>
        <v>0</v>
      </c>
      <c r="R12" s="423">
        <f t="shared" si="6"/>
        <v>0</v>
      </c>
      <c r="S12" s="423">
        <f t="shared" si="6"/>
        <v>0</v>
      </c>
      <c r="T12" s="423">
        <f t="shared" si="6"/>
        <v>0</v>
      </c>
      <c r="U12" s="423">
        <f t="shared" si="6"/>
        <v>0</v>
      </c>
      <c r="V12" s="423">
        <f t="shared" si="6"/>
        <v>0</v>
      </c>
      <c r="W12" s="423">
        <f t="shared" si="6"/>
        <v>0</v>
      </c>
      <c r="X12" s="912">
        <f>$B$12*X8</f>
        <v>0</v>
      </c>
      <c r="Y12" s="196"/>
      <c r="Z12" s="196"/>
      <c r="AA12" s="24"/>
      <c r="AB12" s="24"/>
      <c r="AC12" s="17"/>
      <c r="AD12" s="17"/>
      <c r="AE12" s="35"/>
    </row>
    <row r="13" spans="1:31" ht="13.5" customHeight="1">
      <c r="A13" s="910" t="s">
        <v>243</v>
      </c>
      <c r="B13" s="423">
        <f>'Project Assumptions'!C38+'Project Assumptions'!C39+'Project Assumptions'!C40</f>
        <v>1243</v>
      </c>
      <c r="C13" s="420"/>
      <c r="D13" s="423">
        <f>$B$13*D9</f>
        <v>25.895833333333332</v>
      </c>
      <c r="E13" s="423">
        <f t="shared" ref="E13:W13" si="7">$B$13*E9</f>
        <v>62.150000000000006</v>
      </c>
      <c r="F13" s="423">
        <f t="shared" si="7"/>
        <v>62.150000000000006</v>
      </c>
      <c r="G13" s="423">
        <f t="shared" si="7"/>
        <v>62.150000000000006</v>
      </c>
      <c r="H13" s="423">
        <f t="shared" si="7"/>
        <v>62.150000000000006</v>
      </c>
      <c r="I13" s="423">
        <f t="shared" si="7"/>
        <v>62.150000000000006</v>
      </c>
      <c r="J13" s="423">
        <f t="shared" si="7"/>
        <v>62.150000000000006</v>
      </c>
      <c r="K13" s="423">
        <f t="shared" si="7"/>
        <v>62.150000000000006</v>
      </c>
      <c r="L13" s="423">
        <f t="shared" si="7"/>
        <v>62.150000000000006</v>
      </c>
      <c r="M13" s="423">
        <f t="shared" si="7"/>
        <v>62.150000000000006</v>
      </c>
      <c r="N13" s="423">
        <f t="shared" si="7"/>
        <v>62.150000000000006</v>
      </c>
      <c r="O13" s="423">
        <f t="shared" si="7"/>
        <v>62.150000000000006</v>
      </c>
      <c r="P13" s="423">
        <f t="shared" si="7"/>
        <v>62.150000000000006</v>
      </c>
      <c r="Q13" s="423">
        <f t="shared" si="7"/>
        <v>62.150000000000006</v>
      </c>
      <c r="R13" s="423">
        <f t="shared" si="7"/>
        <v>62.150000000000006</v>
      </c>
      <c r="S13" s="423">
        <f t="shared" si="7"/>
        <v>62.150000000000006</v>
      </c>
      <c r="T13" s="423">
        <f t="shared" si="7"/>
        <v>62.150000000000006</v>
      </c>
      <c r="U13" s="423">
        <f t="shared" si="7"/>
        <v>62.150000000000006</v>
      </c>
      <c r="V13" s="423">
        <f t="shared" si="7"/>
        <v>62.150000000000006</v>
      </c>
      <c r="W13" s="423">
        <f t="shared" si="7"/>
        <v>62.150000000000006</v>
      </c>
      <c r="X13" s="912">
        <f>$B$13*X9</f>
        <v>36.25416666666667</v>
      </c>
      <c r="Y13" s="197"/>
      <c r="Z13" s="197"/>
      <c r="AA13" s="136"/>
      <c r="AB13" s="136"/>
      <c r="AC13" s="17"/>
      <c r="AD13" s="17"/>
      <c r="AE13" s="35"/>
    </row>
    <row r="14" spans="1:31" ht="13.5" customHeight="1">
      <c r="A14" s="910" t="s">
        <v>657</v>
      </c>
      <c r="B14" s="423">
        <f>'Cash Flow Statement'!E17</f>
        <v>3000</v>
      </c>
      <c r="C14" s="420"/>
      <c r="D14" s="423">
        <v>0</v>
      </c>
      <c r="E14" s="423">
        <f>D7*$B$14</f>
        <v>150</v>
      </c>
      <c r="F14" s="423">
        <f t="shared" ref="F14:X14" si="8">E7*$B$14</f>
        <v>285</v>
      </c>
      <c r="G14" s="423">
        <f t="shared" si="8"/>
        <v>256.5</v>
      </c>
      <c r="H14" s="423">
        <f t="shared" si="8"/>
        <v>231</v>
      </c>
      <c r="I14" s="423">
        <f t="shared" si="8"/>
        <v>207.9</v>
      </c>
      <c r="J14" s="423">
        <f t="shared" si="8"/>
        <v>186.9</v>
      </c>
      <c r="K14" s="423">
        <f t="shared" si="8"/>
        <v>177</v>
      </c>
      <c r="L14" s="423">
        <f t="shared" si="8"/>
        <v>177.3</v>
      </c>
      <c r="M14" s="423">
        <f t="shared" si="8"/>
        <v>177</v>
      </c>
      <c r="N14" s="423">
        <f t="shared" si="8"/>
        <v>177.3</v>
      </c>
      <c r="O14" s="423">
        <f t="shared" si="8"/>
        <v>177</v>
      </c>
      <c r="P14" s="423">
        <f t="shared" si="8"/>
        <v>177.3</v>
      </c>
      <c r="Q14" s="423">
        <f t="shared" si="8"/>
        <v>177</v>
      </c>
      <c r="R14" s="423">
        <f t="shared" si="8"/>
        <v>177.3</v>
      </c>
      <c r="S14" s="423">
        <f t="shared" si="8"/>
        <v>177</v>
      </c>
      <c r="T14" s="423">
        <f t="shared" si="8"/>
        <v>88.5</v>
      </c>
      <c r="U14" s="423">
        <f t="shared" si="8"/>
        <v>0</v>
      </c>
      <c r="V14" s="423">
        <f t="shared" si="8"/>
        <v>0</v>
      </c>
      <c r="W14" s="423">
        <f t="shared" si="8"/>
        <v>0</v>
      </c>
      <c r="X14" s="912">
        <f t="shared" si="8"/>
        <v>0</v>
      </c>
      <c r="Y14" s="197"/>
      <c r="Z14" s="197"/>
      <c r="AA14" s="136"/>
      <c r="AB14" s="136"/>
      <c r="AC14" s="17"/>
      <c r="AD14" s="17"/>
      <c r="AE14" s="35"/>
    </row>
    <row r="15" spans="1:31" ht="12" customHeight="1">
      <c r="A15" s="910" t="s">
        <v>464</v>
      </c>
      <c r="B15" s="439">
        <v>0</v>
      </c>
      <c r="C15" s="420"/>
      <c r="D15" s="439">
        <f>B15</f>
        <v>0</v>
      </c>
      <c r="E15" s="994">
        <v>0</v>
      </c>
      <c r="F15" s="994">
        <v>0</v>
      </c>
      <c r="G15" s="994">
        <v>0</v>
      </c>
      <c r="H15" s="994">
        <v>0</v>
      </c>
      <c r="I15" s="994">
        <v>0</v>
      </c>
      <c r="J15" s="994">
        <v>0</v>
      </c>
      <c r="K15" s="994">
        <v>0</v>
      </c>
      <c r="L15" s="994">
        <v>0</v>
      </c>
      <c r="M15" s="994">
        <v>0</v>
      </c>
      <c r="N15" s="994">
        <v>0</v>
      </c>
      <c r="O15" s="994">
        <v>0</v>
      </c>
      <c r="P15" s="994">
        <v>0</v>
      </c>
      <c r="Q15" s="994">
        <v>0</v>
      </c>
      <c r="R15" s="994">
        <v>0</v>
      </c>
      <c r="S15" s="994">
        <v>0</v>
      </c>
      <c r="T15" s="994">
        <v>0</v>
      </c>
      <c r="U15" s="994">
        <v>0</v>
      </c>
      <c r="V15" s="994">
        <v>0</v>
      </c>
      <c r="W15" s="994">
        <v>0</v>
      </c>
      <c r="X15" s="995">
        <v>0</v>
      </c>
      <c r="Y15" s="197"/>
      <c r="Z15" s="197"/>
      <c r="AA15" s="136"/>
      <c r="AB15" s="136"/>
      <c r="AC15" s="17"/>
      <c r="AD15" s="17"/>
      <c r="AE15" s="35"/>
    </row>
    <row r="16" spans="1:31" ht="12" customHeight="1">
      <c r="A16" s="996" t="s">
        <v>244</v>
      </c>
      <c r="B16" s="920">
        <f>SUM(B11:B15)</f>
        <v>157206.27800000002</v>
      </c>
      <c r="C16" s="997"/>
      <c r="D16" s="920">
        <f>SUM(D11:D15)</f>
        <v>7774.7295333333341</v>
      </c>
      <c r="E16" s="920">
        <f t="shared" ref="E16:X16" si="9">SUM(E11:E15)</f>
        <v>15060.771280000001</v>
      </c>
      <c r="F16" s="920">
        <f t="shared" si="9"/>
        <v>13771.311032000001</v>
      </c>
      <c r="G16" s="920">
        <f t="shared" si="9"/>
        <v>12468.293968</v>
      </c>
      <c r="H16" s="920">
        <f t="shared" si="9"/>
        <v>11288.231451199999</v>
      </c>
      <c r="I16" s="920">
        <f t="shared" si="9"/>
        <v>9963.8546631999998</v>
      </c>
      <c r="J16" s="920">
        <f t="shared" si="9"/>
        <v>9095.6978559999989</v>
      </c>
      <c r="K16" s="920">
        <f t="shared" si="9"/>
        <v>9100.7921743999996</v>
      </c>
      <c r="L16" s="920">
        <f t="shared" si="9"/>
        <v>9086.0978559999985</v>
      </c>
      <c r="M16" s="920">
        <f t="shared" si="9"/>
        <v>9100.7921743999996</v>
      </c>
      <c r="N16" s="920">
        <f t="shared" si="9"/>
        <v>9086.0978559999985</v>
      </c>
      <c r="O16" s="920">
        <f t="shared" si="9"/>
        <v>9100.7921743999996</v>
      </c>
      <c r="P16" s="920">
        <f t="shared" si="9"/>
        <v>9086.0978559999985</v>
      </c>
      <c r="Q16" s="920">
        <f t="shared" si="9"/>
        <v>9100.7921743999996</v>
      </c>
      <c r="R16" s="920">
        <f t="shared" si="9"/>
        <v>9086.0978559999985</v>
      </c>
      <c r="S16" s="920">
        <f t="shared" si="9"/>
        <v>4662.4739279999994</v>
      </c>
      <c r="T16" s="920">
        <f t="shared" si="9"/>
        <v>150.65</v>
      </c>
      <c r="U16" s="920">
        <f t="shared" si="9"/>
        <v>62.150000000000006</v>
      </c>
      <c r="V16" s="920">
        <f t="shared" si="9"/>
        <v>62.150000000000006</v>
      </c>
      <c r="W16" s="920">
        <f t="shared" si="9"/>
        <v>62.150000000000006</v>
      </c>
      <c r="X16" s="998">
        <f t="shared" si="9"/>
        <v>36.25416666666667</v>
      </c>
      <c r="Y16" s="195"/>
      <c r="Z16" s="195"/>
      <c r="AA16" s="34"/>
      <c r="AB16" s="34"/>
      <c r="AC16" s="17"/>
      <c r="AD16" s="17"/>
      <c r="AE16" s="17"/>
    </row>
    <row r="17" spans="1:31" ht="12" customHeight="1">
      <c r="A17" s="191"/>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7"/>
      <c r="AB17" s="17"/>
      <c r="AC17" s="17"/>
      <c r="AD17" s="17"/>
      <c r="AE17" s="35"/>
    </row>
    <row r="18" spans="1:31" ht="12" customHeight="1">
      <c r="A18" s="985" t="s">
        <v>240</v>
      </c>
      <c r="B18" s="641"/>
      <c r="C18" s="641"/>
      <c r="D18" s="641"/>
      <c r="E18" s="641"/>
      <c r="F18" s="641"/>
      <c r="G18" s="641"/>
      <c r="H18" s="641"/>
      <c r="I18" s="641"/>
      <c r="J18" s="641"/>
      <c r="K18" s="641"/>
      <c r="L18" s="641"/>
      <c r="M18" s="641"/>
      <c r="N18" s="641"/>
      <c r="O18" s="641"/>
      <c r="P18" s="641"/>
      <c r="Q18" s="641"/>
      <c r="R18" s="641"/>
      <c r="S18" s="641"/>
      <c r="T18" s="641"/>
      <c r="U18" s="641"/>
      <c r="V18" s="641"/>
      <c r="W18" s="641"/>
      <c r="X18" s="738"/>
      <c r="AE18" s="31"/>
    </row>
    <row r="19" spans="1:31" ht="12" customHeight="1">
      <c r="A19" s="999"/>
      <c r="B19" s="436" t="s">
        <v>0</v>
      </c>
      <c r="C19" s="179"/>
      <c r="D19" s="179"/>
      <c r="E19" s="179"/>
      <c r="F19" s="179"/>
      <c r="G19" s="179"/>
      <c r="H19" s="179"/>
      <c r="I19" s="179"/>
      <c r="J19" s="179"/>
      <c r="K19" s="179"/>
      <c r="L19" s="179"/>
      <c r="M19" s="179"/>
      <c r="N19" s="179"/>
      <c r="O19" s="179"/>
      <c r="P19" s="179"/>
      <c r="Q19" s="179"/>
      <c r="R19" s="179"/>
      <c r="S19" s="179"/>
      <c r="T19" s="179"/>
      <c r="U19" s="179"/>
      <c r="V19" s="179"/>
      <c r="W19" s="179"/>
      <c r="X19" s="782"/>
      <c r="AE19" s="31"/>
    </row>
    <row r="20" spans="1:31" ht="12" customHeight="1">
      <c r="A20" s="910" t="s">
        <v>247</v>
      </c>
      <c r="B20" s="989">
        <f>B7</f>
        <v>15</v>
      </c>
      <c r="C20" s="1000"/>
      <c r="D20" s="990">
        <f t="shared" ref="D20:W20" si="10">IF(D4&gt;$B$20+1,0,IF($B$20=15,VLOOKUP(D4,$A$78:$B$93,2),VLOOKUP(D4,$A$98:$B$118,2)))</f>
        <v>0.05</v>
      </c>
      <c r="E20" s="990">
        <f t="shared" si="10"/>
        <v>9.5000000000000001E-2</v>
      </c>
      <c r="F20" s="990">
        <f t="shared" si="10"/>
        <v>8.5500000000000007E-2</v>
      </c>
      <c r="G20" s="990">
        <f t="shared" si="10"/>
        <v>7.6999999999999999E-2</v>
      </c>
      <c r="H20" s="990">
        <f t="shared" si="10"/>
        <v>6.93E-2</v>
      </c>
      <c r="I20" s="990">
        <f t="shared" si="10"/>
        <v>6.2300000000000001E-2</v>
      </c>
      <c r="J20" s="990">
        <f t="shared" si="10"/>
        <v>5.8999999999999997E-2</v>
      </c>
      <c r="K20" s="990">
        <f t="shared" si="10"/>
        <v>5.91E-2</v>
      </c>
      <c r="L20" s="990">
        <f t="shared" si="10"/>
        <v>5.8999999999999997E-2</v>
      </c>
      <c r="M20" s="990">
        <f t="shared" si="10"/>
        <v>5.91E-2</v>
      </c>
      <c r="N20" s="990">
        <f t="shared" si="10"/>
        <v>5.8999999999999997E-2</v>
      </c>
      <c r="O20" s="990">
        <f t="shared" si="10"/>
        <v>5.91E-2</v>
      </c>
      <c r="P20" s="990">
        <f t="shared" si="10"/>
        <v>5.8999999999999997E-2</v>
      </c>
      <c r="Q20" s="990">
        <f t="shared" si="10"/>
        <v>5.91E-2</v>
      </c>
      <c r="R20" s="990">
        <f t="shared" si="10"/>
        <v>5.8999999999999997E-2</v>
      </c>
      <c r="S20" s="990">
        <f t="shared" si="10"/>
        <v>2.9499999999999998E-2</v>
      </c>
      <c r="T20" s="990">
        <f t="shared" si="10"/>
        <v>0</v>
      </c>
      <c r="U20" s="990">
        <f t="shared" si="10"/>
        <v>0</v>
      </c>
      <c r="V20" s="990">
        <f t="shared" si="10"/>
        <v>0</v>
      </c>
      <c r="W20" s="990">
        <f t="shared" si="10"/>
        <v>0</v>
      </c>
      <c r="X20" s="991">
        <f>IF(X4&gt;$B$20+1,0,IF($B$20=15,VLOOKUP(X4,$A$78:$B$93,2),VLOOKUP(X4,$A$98:$B$118,2)))</f>
        <v>0</v>
      </c>
      <c r="Y20" s="194"/>
      <c r="Z20" s="194"/>
      <c r="AA20" s="97"/>
      <c r="AB20" s="97"/>
      <c r="AC20" s="32"/>
      <c r="AD20" s="32"/>
      <c r="AE20" s="33"/>
    </row>
    <row r="21" spans="1:31" ht="12" customHeight="1">
      <c r="A21" s="910" t="s">
        <v>241</v>
      </c>
      <c r="B21" s="989">
        <v>5</v>
      </c>
      <c r="C21" s="179"/>
      <c r="D21" s="990">
        <f>IF(D17&gt;$B$21,0,1/$B$21)*'Book Income Statement'!D$6/12</f>
        <v>8.3333333333333329E-2</v>
      </c>
      <c r="E21" s="990">
        <f>IF(E$4&lt;=$B21,(1/$B21),IF(E$4=$B21+1,(1/$B21)-$D21,0))</f>
        <v>0.2</v>
      </c>
      <c r="F21" s="990">
        <f t="shared" ref="F21:X21" si="11">IF(F$4&lt;=$B21,(1/$B21),IF(F$4=$B21+1,(1/$B21)-$D21,0))</f>
        <v>0.2</v>
      </c>
      <c r="G21" s="990">
        <f t="shared" si="11"/>
        <v>0.2</v>
      </c>
      <c r="H21" s="990">
        <f t="shared" si="11"/>
        <v>0.2</v>
      </c>
      <c r="I21" s="990">
        <f t="shared" si="11"/>
        <v>0.11666666666666668</v>
      </c>
      <c r="J21" s="990">
        <f t="shared" si="11"/>
        <v>0</v>
      </c>
      <c r="K21" s="990">
        <f t="shared" si="11"/>
        <v>0</v>
      </c>
      <c r="L21" s="990">
        <f t="shared" si="11"/>
        <v>0</v>
      </c>
      <c r="M21" s="990">
        <f t="shared" si="11"/>
        <v>0</v>
      </c>
      <c r="N21" s="990">
        <f t="shared" si="11"/>
        <v>0</v>
      </c>
      <c r="O21" s="990">
        <f t="shared" si="11"/>
        <v>0</v>
      </c>
      <c r="P21" s="990">
        <f t="shared" si="11"/>
        <v>0</v>
      </c>
      <c r="Q21" s="990">
        <f t="shared" si="11"/>
        <v>0</v>
      </c>
      <c r="R21" s="990">
        <f t="shared" si="11"/>
        <v>0</v>
      </c>
      <c r="S21" s="990">
        <f t="shared" si="11"/>
        <v>0</v>
      </c>
      <c r="T21" s="990">
        <f t="shared" si="11"/>
        <v>0</v>
      </c>
      <c r="U21" s="990">
        <f t="shared" si="11"/>
        <v>0</v>
      </c>
      <c r="V21" s="990">
        <f t="shared" si="11"/>
        <v>0</v>
      </c>
      <c r="W21" s="990">
        <f t="shared" si="11"/>
        <v>0</v>
      </c>
      <c r="X21" s="991">
        <f t="shared" si="11"/>
        <v>0</v>
      </c>
      <c r="Y21" s="194"/>
      <c r="Z21" s="194"/>
      <c r="AA21" s="97"/>
      <c r="AB21" s="97"/>
      <c r="AC21" s="32"/>
      <c r="AD21" s="32"/>
      <c r="AE21" s="33"/>
    </row>
    <row r="22" spans="1:31" ht="12" customHeight="1">
      <c r="A22" s="910" t="s">
        <v>93</v>
      </c>
      <c r="B22" s="992">
        <f>MAX('Project Assumptions'!$F$40, 'Project Assumptions'!$G$40,'Project Assumptions'!$H$40)</f>
        <v>20</v>
      </c>
      <c r="C22" s="179"/>
      <c r="D22" s="990">
        <f>IF(D17&gt;$B$22,0,(1/$B$22))*'Book Income Statement'!D$6/12</f>
        <v>2.0833333333333332E-2</v>
      </c>
      <c r="E22" s="990">
        <f>IF(E$4&lt;=$B$22,(1/$B$22),IF(E$4=$B$22+1,(1/$B$22)-$D$22,0))</f>
        <v>0.05</v>
      </c>
      <c r="F22" s="990">
        <f t="shared" ref="F22:X22" si="12">IF(F$4&lt;=$B$22,(1/$B$22),IF(F$4=$B$22+1,(1/$B$22)-$D$22,0))</f>
        <v>0.05</v>
      </c>
      <c r="G22" s="990">
        <f t="shared" si="12"/>
        <v>0.05</v>
      </c>
      <c r="H22" s="990">
        <f t="shared" si="12"/>
        <v>0.05</v>
      </c>
      <c r="I22" s="990">
        <f t="shared" si="12"/>
        <v>0.05</v>
      </c>
      <c r="J22" s="990">
        <f t="shared" si="12"/>
        <v>0.05</v>
      </c>
      <c r="K22" s="990">
        <f t="shared" si="12"/>
        <v>0.05</v>
      </c>
      <c r="L22" s="990">
        <f t="shared" si="12"/>
        <v>0.05</v>
      </c>
      <c r="M22" s="990">
        <f t="shared" si="12"/>
        <v>0.05</v>
      </c>
      <c r="N22" s="990">
        <f t="shared" si="12"/>
        <v>0.05</v>
      </c>
      <c r="O22" s="990">
        <f t="shared" si="12"/>
        <v>0.05</v>
      </c>
      <c r="P22" s="990">
        <f t="shared" si="12"/>
        <v>0.05</v>
      </c>
      <c r="Q22" s="990">
        <f t="shared" si="12"/>
        <v>0.05</v>
      </c>
      <c r="R22" s="990">
        <f t="shared" si="12"/>
        <v>0.05</v>
      </c>
      <c r="S22" s="990">
        <f t="shared" si="12"/>
        <v>0.05</v>
      </c>
      <c r="T22" s="990">
        <f t="shared" si="12"/>
        <v>0.05</v>
      </c>
      <c r="U22" s="990">
        <f t="shared" si="12"/>
        <v>0.05</v>
      </c>
      <c r="V22" s="990">
        <f t="shared" si="12"/>
        <v>0.05</v>
      </c>
      <c r="W22" s="990">
        <f t="shared" si="12"/>
        <v>0.05</v>
      </c>
      <c r="X22" s="991">
        <f t="shared" si="12"/>
        <v>2.9166666666666671E-2</v>
      </c>
      <c r="Y22" s="194"/>
      <c r="Z22" s="194"/>
      <c r="AA22" s="97"/>
      <c r="AB22" s="97"/>
      <c r="AC22" s="32"/>
      <c r="AD22" s="32"/>
      <c r="AE22" s="33"/>
    </row>
    <row r="23" spans="1:31" ht="12" customHeight="1">
      <c r="A23" s="910"/>
      <c r="B23" s="989"/>
      <c r="C23" s="179"/>
      <c r="D23" s="1001"/>
      <c r="E23" s="1001"/>
      <c r="F23" s="1001"/>
      <c r="G23" s="1001"/>
      <c r="H23" s="1001"/>
      <c r="I23" s="1001"/>
      <c r="J23" s="1001"/>
      <c r="K23" s="1001"/>
      <c r="L23" s="1001"/>
      <c r="M23" s="1001"/>
      <c r="N23" s="1001"/>
      <c r="O23" s="1001"/>
      <c r="P23" s="1001"/>
      <c r="Q23" s="1001"/>
      <c r="R23" s="1001"/>
      <c r="S23" s="1001"/>
      <c r="T23" s="1001"/>
      <c r="U23" s="1001"/>
      <c r="V23" s="1001"/>
      <c r="W23" s="1001"/>
      <c r="X23" s="1002"/>
      <c r="Y23" s="198"/>
      <c r="Z23" s="198"/>
      <c r="AA23" s="135"/>
      <c r="AB23" s="135"/>
      <c r="AC23" s="32"/>
      <c r="AD23" s="32"/>
      <c r="AE23" s="33"/>
    </row>
    <row r="24" spans="1:31" ht="12" customHeight="1">
      <c r="A24" s="779"/>
      <c r="B24" s="436"/>
      <c r="C24" s="179"/>
      <c r="D24" s="179"/>
      <c r="E24" s="179"/>
      <c r="F24" s="179"/>
      <c r="G24" s="179"/>
      <c r="H24" s="179"/>
      <c r="I24" s="179"/>
      <c r="J24" s="179"/>
      <c r="K24" s="179"/>
      <c r="L24" s="179"/>
      <c r="M24" s="179"/>
      <c r="N24" s="179"/>
      <c r="O24" s="179"/>
      <c r="P24" s="179"/>
      <c r="Q24" s="179"/>
      <c r="R24" s="179"/>
      <c r="S24" s="179"/>
      <c r="T24" s="179"/>
      <c r="U24" s="179"/>
      <c r="V24" s="179"/>
      <c r="W24" s="179"/>
      <c r="X24" s="782"/>
    </row>
    <row r="25" spans="1:31" s="23" customFormat="1" ht="12" customHeight="1">
      <c r="A25" s="910" t="s">
        <v>248</v>
      </c>
      <c r="B25" s="447">
        <f>B11</f>
        <v>149943.18400000001</v>
      </c>
      <c r="C25" s="432"/>
      <c r="D25" s="447">
        <f>$B$25*D20</f>
        <v>7497.159200000001</v>
      </c>
      <c r="E25" s="447">
        <f t="shared" ref="E25:W25" si="13">$B$25*E20</f>
        <v>14244.602480000001</v>
      </c>
      <c r="F25" s="447">
        <f t="shared" si="13"/>
        <v>12820.142232000002</v>
      </c>
      <c r="G25" s="447">
        <f t="shared" si="13"/>
        <v>11545.625168</v>
      </c>
      <c r="H25" s="447">
        <f t="shared" si="13"/>
        <v>10391.0626512</v>
      </c>
      <c r="I25" s="447">
        <f t="shared" si="13"/>
        <v>9341.4603631999998</v>
      </c>
      <c r="J25" s="447">
        <f t="shared" si="13"/>
        <v>8846.6478559999996</v>
      </c>
      <c r="K25" s="447">
        <f t="shared" si="13"/>
        <v>8861.6421743999999</v>
      </c>
      <c r="L25" s="447">
        <f t="shared" si="13"/>
        <v>8846.6478559999996</v>
      </c>
      <c r="M25" s="447">
        <f t="shared" si="13"/>
        <v>8861.6421743999999</v>
      </c>
      <c r="N25" s="447">
        <f t="shared" si="13"/>
        <v>8846.6478559999996</v>
      </c>
      <c r="O25" s="447">
        <f t="shared" si="13"/>
        <v>8861.6421743999999</v>
      </c>
      <c r="P25" s="447">
        <f t="shared" si="13"/>
        <v>8846.6478559999996</v>
      </c>
      <c r="Q25" s="447">
        <f t="shared" si="13"/>
        <v>8861.6421743999999</v>
      </c>
      <c r="R25" s="447">
        <f t="shared" si="13"/>
        <v>8846.6478559999996</v>
      </c>
      <c r="S25" s="447">
        <f t="shared" si="13"/>
        <v>4423.3239279999998</v>
      </c>
      <c r="T25" s="447">
        <f t="shared" si="13"/>
        <v>0</v>
      </c>
      <c r="U25" s="447">
        <f t="shared" si="13"/>
        <v>0</v>
      </c>
      <c r="V25" s="447">
        <f t="shared" si="13"/>
        <v>0</v>
      </c>
      <c r="W25" s="447">
        <f t="shared" si="13"/>
        <v>0</v>
      </c>
      <c r="X25" s="893">
        <f>$B$25*X20</f>
        <v>0</v>
      </c>
      <c r="Y25" s="195"/>
      <c r="Z25" s="195"/>
      <c r="AA25" s="34"/>
      <c r="AB25" s="34"/>
      <c r="AC25" s="24"/>
      <c r="AD25" s="24"/>
      <c r="AE25" s="24"/>
    </row>
    <row r="26" spans="1:31" ht="12" customHeight="1">
      <c r="A26" s="910" t="s">
        <v>242</v>
      </c>
      <c r="B26" s="423">
        <f>B12</f>
        <v>3020.0940000000001</v>
      </c>
      <c r="C26" s="179"/>
      <c r="D26" s="423">
        <f t="shared" ref="D26:W27" si="14">$B26*D21</f>
        <v>251.67449999999999</v>
      </c>
      <c r="E26" s="423">
        <f t="shared" si="14"/>
        <v>604.01880000000006</v>
      </c>
      <c r="F26" s="423">
        <f t="shared" si="14"/>
        <v>604.01880000000006</v>
      </c>
      <c r="G26" s="423">
        <f t="shared" si="14"/>
        <v>604.01880000000006</v>
      </c>
      <c r="H26" s="423">
        <f t="shared" si="14"/>
        <v>604.01880000000006</v>
      </c>
      <c r="I26" s="423">
        <f t="shared" si="14"/>
        <v>352.34430000000003</v>
      </c>
      <c r="J26" s="423">
        <f t="shared" si="14"/>
        <v>0</v>
      </c>
      <c r="K26" s="423">
        <f t="shared" si="14"/>
        <v>0</v>
      </c>
      <c r="L26" s="423">
        <f t="shared" si="14"/>
        <v>0</v>
      </c>
      <c r="M26" s="423">
        <f t="shared" si="14"/>
        <v>0</v>
      </c>
      <c r="N26" s="423">
        <f t="shared" si="14"/>
        <v>0</v>
      </c>
      <c r="O26" s="423">
        <f t="shared" si="14"/>
        <v>0</v>
      </c>
      <c r="P26" s="423">
        <f t="shared" si="14"/>
        <v>0</v>
      </c>
      <c r="Q26" s="423">
        <f t="shared" si="14"/>
        <v>0</v>
      </c>
      <c r="R26" s="423">
        <f t="shared" si="14"/>
        <v>0</v>
      </c>
      <c r="S26" s="423">
        <f t="shared" si="14"/>
        <v>0</v>
      </c>
      <c r="T26" s="423">
        <f t="shared" si="14"/>
        <v>0</v>
      </c>
      <c r="U26" s="423">
        <f t="shared" si="14"/>
        <v>0</v>
      </c>
      <c r="V26" s="423">
        <f t="shared" si="14"/>
        <v>0</v>
      </c>
      <c r="W26" s="423">
        <f t="shared" si="14"/>
        <v>0</v>
      </c>
      <c r="X26" s="912">
        <f>$B26*X21</f>
        <v>0</v>
      </c>
      <c r="Y26" s="196"/>
      <c r="Z26" s="196"/>
      <c r="AA26" s="24"/>
      <c r="AB26" s="24"/>
      <c r="AC26" s="17"/>
      <c r="AD26" s="17"/>
      <c r="AE26" s="35"/>
    </row>
    <row r="27" spans="1:31" ht="13.5" customHeight="1">
      <c r="A27" s="910" t="s">
        <v>243</v>
      </c>
      <c r="B27" s="423">
        <f>B13</f>
        <v>1243</v>
      </c>
      <c r="C27" s="179"/>
      <c r="D27" s="423">
        <f t="shared" si="14"/>
        <v>25.895833333333332</v>
      </c>
      <c r="E27" s="423">
        <f t="shared" si="14"/>
        <v>62.150000000000006</v>
      </c>
      <c r="F27" s="423">
        <f t="shared" si="14"/>
        <v>62.150000000000006</v>
      </c>
      <c r="G27" s="423">
        <f t="shared" si="14"/>
        <v>62.150000000000006</v>
      </c>
      <c r="H27" s="423">
        <f t="shared" si="14"/>
        <v>62.150000000000006</v>
      </c>
      <c r="I27" s="423">
        <f t="shared" si="14"/>
        <v>62.150000000000006</v>
      </c>
      <c r="J27" s="423">
        <f t="shared" si="14"/>
        <v>62.150000000000006</v>
      </c>
      <c r="K27" s="423">
        <f t="shared" si="14"/>
        <v>62.150000000000006</v>
      </c>
      <c r="L27" s="423">
        <f t="shared" si="14"/>
        <v>62.150000000000006</v>
      </c>
      <c r="M27" s="423">
        <f t="shared" si="14"/>
        <v>62.150000000000006</v>
      </c>
      <c r="N27" s="423">
        <f t="shared" si="14"/>
        <v>62.150000000000006</v>
      </c>
      <c r="O27" s="423">
        <f t="shared" si="14"/>
        <v>62.150000000000006</v>
      </c>
      <c r="P27" s="423">
        <f t="shared" si="14"/>
        <v>62.150000000000006</v>
      </c>
      <c r="Q27" s="423">
        <f t="shared" si="14"/>
        <v>62.150000000000006</v>
      </c>
      <c r="R27" s="423">
        <f t="shared" si="14"/>
        <v>62.150000000000006</v>
      </c>
      <c r="S27" s="423">
        <f t="shared" si="14"/>
        <v>62.150000000000006</v>
      </c>
      <c r="T27" s="423">
        <f t="shared" si="14"/>
        <v>62.150000000000006</v>
      </c>
      <c r="U27" s="423">
        <f t="shared" si="14"/>
        <v>62.150000000000006</v>
      </c>
      <c r="V27" s="423">
        <f t="shared" si="14"/>
        <v>62.150000000000006</v>
      </c>
      <c r="W27" s="423">
        <f t="shared" si="14"/>
        <v>62.150000000000006</v>
      </c>
      <c r="X27" s="912">
        <f>$B27*X22</f>
        <v>36.25416666666667</v>
      </c>
      <c r="Y27" s="197"/>
      <c r="Z27" s="197"/>
      <c r="AA27" s="99"/>
      <c r="AB27" s="99"/>
      <c r="AC27" s="17"/>
      <c r="AD27" s="17"/>
      <c r="AE27" s="35"/>
    </row>
    <row r="28" spans="1:31" ht="13.5" customHeight="1">
      <c r="A28" s="910" t="s">
        <v>657</v>
      </c>
      <c r="B28" s="423">
        <f>B14</f>
        <v>3000</v>
      </c>
      <c r="C28" s="179"/>
      <c r="D28" s="423"/>
      <c r="E28" s="423">
        <f>D20*$B$28</f>
        <v>150</v>
      </c>
      <c r="F28" s="423">
        <f t="shared" ref="F28:X28" si="15">E20*$B$28</f>
        <v>285</v>
      </c>
      <c r="G28" s="423">
        <f t="shared" si="15"/>
        <v>256.5</v>
      </c>
      <c r="H28" s="423">
        <f t="shared" si="15"/>
        <v>231</v>
      </c>
      <c r="I28" s="423">
        <f t="shared" si="15"/>
        <v>207.9</v>
      </c>
      <c r="J28" s="423">
        <f t="shared" si="15"/>
        <v>186.9</v>
      </c>
      <c r="K28" s="423">
        <f t="shared" si="15"/>
        <v>177</v>
      </c>
      <c r="L28" s="423">
        <f t="shared" si="15"/>
        <v>177.3</v>
      </c>
      <c r="M28" s="423">
        <f t="shared" si="15"/>
        <v>177</v>
      </c>
      <c r="N28" s="423">
        <f t="shared" si="15"/>
        <v>177.3</v>
      </c>
      <c r="O28" s="423">
        <f t="shared" si="15"/>
        <v>177</v>
      </c>
      <c r="P28" s="423">
        <f t="shared" si="15"/>
        <v>177.3</v>
      </c>
      <c r="Q28" s="423">
        <f t="shared" si="15"/>
        <v>177</v>
      </c>
      <c r="R28" s="423">
        <f t="shared" si="15"/>
        <v>177.3</v>
      </c>
      <c r="S28" s="423">
        <f t="shared" si="15"/>
        <v>177</v>
      </c>
      <c r="T28" s="423">
        <f t="shared" si="15"/>
        <v>88.5</v>
      </c>
      <c r="U28" s="423">
        <f t="shared" si="15"/>
        <v>0</v>
      </c>
      <c r="V28" s="423">
        <f t="shared" si="15"/>
        <v>0</v>
      </c>
      <c r="W28" s="423">
        <f t="shared" si="15"/>
        <v>0</v>
      </c>
      <c r="X28" s="912">
        <f t="shared" si="15"/>
        <v>0</v>
      </c>
      <c r="Y28" s="197"/>
      <c r="Z28" s="197"/>
      <c r="AA28" s="99"/>
      <c r="AB28" s="99"/>
      <c r="AC28" s="17"/>
      <c r="AD28" s="17"/>
      <c r="AE28" s="35"/>
    </row>
    <row r="29" spans="1:31" ht="14.25" customHeight="1">
      <c r="A29" s="910" t="s">
        <v>464</v>
      </c>
      <c r="B29" s="439">
        <f>B15</f>
        <v>0</v>
      </c>
      <c r="C29" s="179"/>
      <c r="D29" s="439">
        <f>B29</f>
        <v>0</v>
      </c>
      <c r="E29" s="994">
        <v>0</v>
      </c>
      <c r="F29" s="994">
        <v>0</v>
      </c>
      <c r="G29" s="994">
        <v>0</v>
      </c>
      <c r="H29" s="994">
        <v>0</v>
      </c>
      <c r="I29" s="994">
        <v>0</v>
      </c>
      <c r="J29" s="994">
        <v>0</v>
      </c>
      <c r="K29" s="994">
        <v>0</v>
      </c>
      <c r="L29" s="994">
        <v>0</v>
      </c>
      <c r="M29" s="994">
        <v>0</v>
      </c>
      <c r="N29" s="994">
        <v>0</v>
      </c>
      <c r="O29" s="994">
        <v>0</v>
      </c>
      <c r="P29" s="994">
        <v>0</v>
      </c>
      <c r="Q29" s="994">
        <v>0</v>
      </c>
      <c r="R29" s="994">
        <v>0</v>
      </c>
      <c r="S29" s="994">
        <v>0</v>
      </c>
      <c r="T29" s="994">
        <v>0</v>
      </c>
      <c r="U29" s="994">
        <v>0</v>
      </c>
      <c r="V29" s="994">
        <v>0</v>
      </c>
      <c r="W29" s="994">
        <v>0</v>
      </c>
      <c r="X29" s="995">
        <v>0</v>
      </c>
      <c r="Y29" s="197"/>
      <c r="Z29" s="197"/>
      <c r="AA29" s="99"/>
      <c r="AB29" s="99"/>
      <c r="AC29" s="17"/>
      <c r="AD29" s="17"/>
      <c r="AE29" s="35"/>
    </row>
    <row r="30" spans="1:31" ht="12" customHeight="1">
      <c r="A30" s="996" t="s">
        <v>244</v>
      </c>
      <c r="B30" s="920">
        <f>SUM(B25:B29)</f>
        <v>157206.27800000002</v>
      </c>
      <c r="C30" s="739"/>
      <c r="D30" s="920">
        <f>SUM(D25:D29)</f>
        <v>7774.7295333333341</v>
      </c>
      <c r="E30" s="920">
        <f>SUM(E25:E29)</f>
        <v>15060.771280000001</v>
      </c>
      <c r="F30" s="920">
        <f t="shared" ref="F30:X30" si="16">SUM(F25:F29)</f>
        <v>13771.311032000001</v>
      </c>
      <c r="G30" s="920">
        <f t="shared" si="16"/>
        <v>12468.293968</v>
      </c>
      <c r="H30" s="920">
        <f t="shared" si="16"/>
        <v>11288.231451199999</v>
      </c>
      <c r="I30" s="920">
        <f t="shared" si="16"/>
        <v>9963.8546631999998</v>
      </c>
      <c r="J30" s="920">
        <f t="shared" si="16"/>
        <v>9095.6978559999989</v>
      </c>
      <c r="K30" s="920">
        <f t="shared" si="16"/>
        <v>9100.7921743999996</v>
      </c>
      <c r="L30" s="920">
        <f t="shared" si="16"/>
        <v>9086.0978559999985</v>
      </c>
      <c r="M30" s="920">
        <f t="shared" si="16"/>
        <v>9100.7921743999996</v>
      </c>
      <c r="N30" s="920">
        <f t="shared" si="16"/>
        <v>9086.0978559999985</v>
      </c>
      <c r="O30" s="920">
        <f t="shared" si="16"/>
        <v>9100.7921743999996</v>
      </c>
      <c r="P30" s="920">
        <f t="shared" si="16"/>
        <v>9086.0978559999985</v>
      </c>
      <c r="Q30" s="920">
        <f t="shared" si="16"/>
        <v>9100.7921743999996</v>
      </c>
      <c r="R30" s="920">
        <f t="shared" si="16"/>
        <v>9086.0978559999985</v>
      </c>
      <c r="S30" s="920">
        <f t="shared" si="16"/>
        <v>4662.4739279999994</v>
      </c>
      <c r="T30" s="920">
        <f t="shared" si="16"/>
        <v>150.65</v>
      </c>
      <c r="U30" s="920">
        <f t="shared" si="16"/>
        <v>62.150000000000006</v>
      </c>
      <c r="V30" s="920">
        <f t="shared" si="16"/>
        <v>62.150000000000006</v>
      </c>
      <c r="W30" s="920">
        <f t="shared" si="16"/>
        <v>62.150000000000006</v>
      </c>
      <c r="X30" s="998">
        <f t="shared" si="16"/>
        <v>36.25416666666667</v>
      </c>
      <c r="Y30" s="195"/>
      <c r="Z30" s="195"/>
      <c r="AA30" s="34"/>
      <c r="AB30" s="34"/>
      <c r="AC30" s="17"/>
      <c r="AD30" s="17"/>
      <c r="AE30" s="35"/>
    </row>
    <row r="31" spans="1:31" ht="12" customHeight="1"/>
    <row r="32" spans="1:31" ht="12" customHeight="1">
      <c r="A32" s="985" t="s">
        <v>252</v>
      </c>
      <c r="B32" s="641"/>
      <c r="C32" s="641"/>
      <c r="D32" s="641"/>
      <c r="E32" s="641"/>
      <c r="F32" s="641"/>
      <c r="G32" s="641"/>
      <c r="H32" s="641"/>
      <c r="I32" s="641"/>
      <c r="J32" s="641"/>
      <c r="K32" s="641"/>
      <c r="L32" s="641"/>
      <c r="M32" s="641"/>
      <c r="N32" s="641"/>
      <c r="O32" s="641"/>
      <c r="P32" s="641"/>
      <c r="Q32" s="641"/>
      <c r="R32" s="641"/>
      <c r="S32" s="641"/>
      <c r="T32" s="641"/>
      <c r="U32" s="641"/>
      <c r="V32" s="641"/>
      <c r="W32" s="641"/>
      <c r="X32" s="738"/>
      <c r="AE32" s="31"/>
    </row>
    <row r="33" spans="1:31" ht="12" customHeight="1">
      <c r="A33" s="999"/>
      <c r="B33" s="436" t="s">
        <v>0</v>
      </c>
      <c r="C33" s="1003" t="s">
        <v>33</v>
      </c>
      <c r="D33" s="179">
        <v>1</v>
      </c>
      <c r="E33" s="179">
        <f>D33+1</f>
        <v>2</v>
      </c>
      <c r="F33" s="179">
        <f t="shared" ref="F33:W33" si="17">E33+1</f>
        <v>3</v>
      </c>
      <c r="G33" s="179">
        <f t="shared" si="17"/>
        <v>4</v>
      </c>
      <c r="H33" s="179">
        <f t="shared" si="17"/>
        <v>5</v>
      </c>
      <c r="I33" s="179">
        <f t="shared" si="17"/>
        <v>6</v>
      </c>
      <c r="J33" s="179">
        <f t="shared" si="17"/>
        <v>7</v>
      </c>
      <c r="K33" s="179">
        <f t="shared" si="17"/>
        <v>8</v>
      </c>
      <c r="L33" s="179">
        <f t="shared" si="17"/>
        <v>9</v>
      </c>
      <c r="M33" s="179">
        <f t="shared" si="17"/>
        <v>10</v>
      </c>
      <c r="N33" s="179">
        <f t="shared" si="17"/>
        <v>11</v>
      </c>
      <c r="O33" s="179">
        <f t="shared" si="17"/>
        <v>12</v>
      </c>
      <c r="P33" s="179">
        <f t="shared" si="17"/>
        <v>13</v>
      </c>
      <c r="Q33" s="179">
        <f t="shared" si="17"/>
        <v>14</v>
      </c>
      <c r="R33" s="179">
        <f t="shared" si="17"/>
        <v>15</v>
      </c>
      <c r="S33" s="179">
        <f t="shared" si="17"/>
        <v>16</v>
      </c>
      <c r="T33" s="179">
        <f t="shared" si="17"/>
        <v>17</v>
      </c>
      <c r="U33" s="179">
        <f t="shared" si="17"/>
        <v>18</v>
      </c>
      <c r="V33" s="179">
        <f t="shared" si="17"/>
        <v>19</v>
      </c>
      <c r="W33" s="179">
        <f t="shared" si="17"/>
        <v>20</v>
      </c>
      <c r="X33" s="782">
        <f>W33+1</f>
        <v>21</v>
      </c>
      <c r="AE33" s="31"/>
    </row>
    <row r="34" spans="1:31" ht="12" customHeight="1">
      <c r="A34" s="910" t="s">
        <v>249</v>
      </c>
      <c r="B34" s="989">
        <v>30</v>
      </c>
      <c r="C34" s="1004">
        <f>'Project Assumptions'!U20</f>
        <v>0.1</v>
      </c>
      <c r="D34" s="990">
        <f>((1-$C$34)/$B$34)*'Book Income Statement'!D$6/12</f>
        <v>1.2500000000000002E-2</v>
      </c>
      <c r="E34" s="990">
        <f>IF(E33&lt;=$B$34,(1-$C$34)/$B$34,IF(E33=$B$34+1,(1/$B34)-$D$34,0))</f>
        <v>3.0000000000000002E-2</v>
      </c>
      <c r="F34" s="990">
        <f t="shared" ref="F34:X34" si="18">IF(F33&lt;=$B$34,(1-$C$34)/$B$34,IF(F33=$B$34+1,(1/$B34)-$D$34,0))</f>
        <v>3.0000000000000002E-2</v>
      </c>
      <c r="G34" s="990">
        <f t="shared" si="18"/>
        <v>3.0000000000000002E-2</v>
      </c>
      <c r="H34" s="990">
        <f t="shared" si="18"/>
        <v>3.0000000000000002E-2</v>
      </c>
      <c r="I34" s="990">
        <f t="shared" si="18"/>
        <v>3.0000000000000002E-2</v>
      </c>
      <c r="J34" s="990">
        <f t="shared" si="18"/>
        <v>3.0000000000000002E-2</v>
      </c>
      <c r="K34" s="990">
        <f t="shared" si="18"/>
        <v>3.0000000000000002E-2</v>
      </c>
      <c r="L34" s="990">
        <f t="shared" si="18"/>
        <v>3.0000000000000002E-2</v>
      </c>
      <c r="M34" s="990">
        <f t="shared" si="18"/>
        <v>3.0000000000000002E-2</v>
      </c>
      <c r="N34" s="990">
        <f t="shared" si="18"/>
        <v>3.0000000000000002E-2</v>
      </c>
      <c r="O34" s="990">
        <f t="shared" si="18"/>
        <v>3.0000000000000002E-2</v>
      </c>
      <c r="P34" s="990">
        <f t="shared" si="18"/>
        <v>3.0000000000000002E-2</v>
      </c>
      <c r="Q34" s="990">
        <f t="shared" si="18"/>
        <v>3.0000000000000002E-2</v>
      </c>
      <c r="R34" s="990">
        <f t="shared" si="18"/>
        <v>3.0000000000000002E-2</v>
      </c>
      <c r="S34" s="990">
        <f t="shared" si="18"/>
        <v>3.0000000000000002E-2</v>
      </c>
      <c r="T34" s="990">
        <f t="shared" si="18"/>
        <v>3.0000000000000002E-2</v>
      </c>
      <c r="U34" s="990">
        <f t="shared" si="18"/>
        <v>3.0000000000000002E-2</v>
      </c>
      <c r="V34" s="990">
        <f t="shared" si="18"/>
        <v>3.0000000000000002E-2</v>
      </c>
      <c r="W34" s="990">
        <f t="shared" si="18"/>
        <v>3.0000000000000002E-2</v>
      </c>
      <c r="X34" s="991">
        <f t="shared" si="18"/>
        <v>3.0000000000000002E-2</v>
      </c>
      <c r="Y34" s="194"/>
      <c r="Z34" s="194"/>
      <c r="AA34" s="97"/>
      <c r="AB34" s="97"/>
      <c r="AC34" s="135"/>
      <c r="AD34" s="32"/>
      <c r="AE34" s="33"/>
    </row>
    <row r="35" spans="1:31" ht="12" customHeight="1">
      <c r="A35" s="910" t="s">
        <v>241</v>
      </c>
      <c r="B35" s="989">
        <v>5</v>
      </c>
      <c r="C35" s="179"/>
      <c r="D35" s="990">
        <f>(1/$B35)*'Book Income Statement'!D$6/12</f>
        <v>8.3333333333333329E-2</v>
      </c>
      <c r="E35" s="990">
        <f>IF(E33&lt;=$B$35,(1/$B35),IF(E33=$B$35+1,(1/$B35)-$D$35,0))</f>
        <v>0.2</v>
      </c>
      <c r="F35" s="990">
        <f t="shared" ref="F35:W35" si="19">IF(F33&lt;=$B$35,(1/$B35),IF(F33=$B$35+1,(1/$B35)-$D$35,0))</f>
        <v>0.2</v>
      </c>
      <c r="G35" s="990">
        <f t="shared" si="19"/>
        <v>0.2</v>
      </c>
      <c r="H35" s="990">
        <f t="shared" si="19"/>
        <v>0.2</v>
      </c>
      <c r="I35" s="990">
        <f t="shared" si="19"/>
        <v>0.11666666666666668</v>
      </c>
      <c r="J35" s="990">
        <f t="shared" si="19"/>
        <v>0</v>
      </c>
      <c r="K35" s="990">
        <f t="shared" si="19"/>
        <v>0</v>
      </c>
      <c r="L35" s="990">
        <f t="shared" si="19"/>
        <v>0</v>
      </c>
      <c r="M35" s="990">
        <f t="shared" si="19"/>
        <v>0</v>
      </c>
      <c r="N35" s="990">
        <f t="shared" si="19"/>
        <v>0</v>
      </c>
      <c r="O35" s="990">
        <f t="shared" si="19"/>
        <v>0</v>
      </c>
      <c r="P35" s="990">
        <f t="shared" si="19"/>
        <v>0</v>
      </c>
      <c r="Q35" s="990">
        <f t="shared" si="19"/>
        <v>0</v>
      </c>
      <c r="R35" s="990">
        <f t="shared" si="19"/>
        <v>0</v>
      </c>
      <c r="S35" s="990">
        <f t="shared" si="19"/>
        <v>0</v>
      </c>
      <c r="T35" s="990">
        <f t="shared" si="19"/>
        <v>0</v>
      </c>
      <c r="U35" s="990">
        <f t="shared" si="19"/>
        <v>0</v>
      </c>
      <c r="V35" s="990">
        <f t="shared" si="19"/>
        <v>0</v>
      </c>
      <c r="W35" s="990">
        <f t="shared" si="19"/>
        <v>0</v>
      </c>
      <c r="X35" s="991">
        <f>IF(X33&lt;=$B$35,(1/$B35),IF(X33=$B$35+1,(1/$B35)-$D$35,0))</f>
        <v>0</v>
      </c>
      <c r="Y35" s="194"/>
      <c r="Z35" s="194"/>
      <c r="AA35" s="97"/>
      <c r="AB35" s="97"/>
      <c r="AD35" s="32"/>
      <c r="AE35" s="33"/>
    </row>
    <row r="36" spans="1:31" ht="12" customHeight="1">
      <c r="A36" s="910" t="s">
        <v>93</v>
      </c>
      <c r="B36" s="992">
        <f>+B9</f>
        <v>20</v>
      </c>
      <c r="C36" s="179"/>
      <c r="D36" s="990">
        <f>(1/$B36)*'Book Income Statement'!D$6/12</f>
        <v>2.0833333333333332E-2</v>
      </c>
      <c r="E36" s="990">
        <f>IF(E33&lt;=$B$36,(1/$B36),IF(E33=$B$36+1,(1/$B36)-$D$36,0))</f>
        <v>0.05</v>
      </c>
      <c r="F36" s="990">
        <f t="shared" ref="F36:W36" si="20">IF(F33&lt;=$B$36,(1/$B36),IF(F33=$B$36+1,(1/$B36)-$D$36,0))</f>
        <v>0.05</v>
      </c>
      <c r="G36" s="990">
        <f t="shared" si="20"/>
        <v>0.05</v>
      </c>
      <c r="H36" s="990">
        <f t="shared" si="20"/>
        <v>0.05</v>
      </c>
      <c r="I36" s="990">
        <f t="shared" si="20"/>
        <v>0.05</v>
      </c>
      <c r="J36" s="990">
        <f t="shared" si="20"/>
        <v>0.05</v>
      </c>
      <c r="K36" s="990">
        <f t="shared" si="20"/>
        <v>0.05</v>
      </c>
      <c r="L36" s="990">
        <f t="shared" si="20"/>
        <v>0.05</v>
      </c>
      <c r="M36" s="990">
        <f t="shared" si="20"/>
        <v>0.05</v>
      </c>
      <c r="N36" s="990">
        <f t="shared" si="20"/>
        <v>0.05</v>
      </c>
      <c r="O36" s="990">
        <f t="shared" si="20"/>
        <v>0.05</v>
      </c>
      <c r="P36" s="990">
        <f t="shared" si="20"/>
        <v>0.05</v>
      </c>
      <c r="Q36" s="990">
        <f t="shared" si="20"/>
        <v>0.05</v>
      </c>
      <c r="R36" s="990">
        <f t="shared" si="20"/>
        <v>0.05</v>
      </c>
      <c r="S36" s="990">
        <f t="shared" si="20"/>
        <v>0.05</v>
      </c>
      <c r="T36" s="990">
        <f t="shared" si="20"/>
        <v>0.05</v>
      </c>
      <c r="U36" s="990">
        <f t="shared" si="20"/>
        <v>0.05</v>
      </c>
      <c r="V36" s="990">
        <f t="shared" si="20"/>
        <v>0.05</v>
      </c>
      <c r="W36" s="990">
        <f t="shared" si="20"/>
        <v>0.05</v>
      </c>
      <c r="X36" s="991">
        <f>IF(X33&lt;=$B$36,(1/$B36),IF(X33=$B$36+1,(1/$B36)-$D$36,0))</f>
        <v>2.9166666666666671E-2</v>
      </c>
      <c r="Y36" s="194"/>
      <c r="Z36" s="194"/>
      <c r="AA36" s="97"/>
      <c r="AB36" s="97"/>
      <c r="AD36" s="32"/>
      <c r="AE36" s="33"/>
    </row>
    <row r="37" spans="1:31" ht="12" customHeight="1">
      <c r="A37" s="779"/>
      <c r="B37" s="436"/>
      <c r="C37" s="179"/>
      <c r="D37" s="179"/>
      <c r="E37" s="179"/>
      <c r="F37" s="179"/>
      <c r="G37" s="179"/>
      <c r="H37" s="179"/>
      <c r="I37" s="179"/>
      <c r="J37" s="179"/>
      <c r="K37" s="179"/>
      <c r="L37" s="179"/>
      <c r="M37" s="179"/>
      <c r="N37" s="179"/>
      <c r="O37" s="179"/>
      <c r="P37" s="179"/>
      <c r="Q37" s="179"/>
      <c r="R37" s="179"/>
      <c r="S37" s="179"/>
      <c r="T37" s="179"/>
      <c r="U37" s="179"/>
      <c r="V37" s="179"/>
      <c r="W37" s="179"/>
      <c r="X37" s="782"/>
    </row>
    <row r="38" spans="1:31" ht="12" customHeight="1">
      <c r="A38" s="910" t="s">
        <v>250</v>
      </c>
      <c r="B38" s="447">
        <f>B11</f>
        <v>149943.18400000001</v>
      </c>
      <c r="C38" s="179"/>
      <c r="D38" s="447">
        <f>D34*$B$38</f>
        <v>1874.2898000000005</v>
      </c>
      <c r="E38" s="447">
        <f t="shared" ref="E38:W38" si="21">E34*$B$38</f>
        <v>4498.2955200000006</v>
      </c>
      <c r="F38" s="447">
        <f t="shared" si="21"/>
        <v>4498.2955200000006</v>
      </c>
      <c r="G38" s="447">
        <f t="shared" si="21"/>
        <v>4498.2955200000006</v>
      </c>
      <c r="H38" s="447">
        <f t="shared" si="21"/>
        <v>4498.2955200000006</v>
      </c>
      <c r="I38" s="447">
        <f t="shared" si="21"/>
        <v>4498.2955200000006</v>
      </c>
      <c r="J38" s="447">
        <f t="shared" si="21"/>
        <v>4498.2955200000006</v>
      </c>
      <c r="K38" s="447">
        <f t="shared" si="21"/>
        <v>4498.2955200000006</v>
      </c>
      <c r="L38" s="447">
        <f t="shared" si="21"/>
        <v>4498.2955200000006</v>
      </c>
      <c r="M38" s="447">
        <f t="shared" si="21"/>
        <v>4498.2955200000006</v>
      </c>
      <c r="N38" s="447">
        <f t="shared" si="21"/>
        <v>4498.2955200000006</v>
      </c>
      <c r="O38" s="447">
        <f t="shared" si="21"/>
        <v>4498.2955200000006</v>
      </c>
      <c r="P38" s="447">
        <f t="shared" si="21"/>
        <v>4498.2955200000006</v>
      </c>
      <c r="Q38" s="447">
        <f t="shared" si="21"/>
        <v>4498.2955200000006</v>
      </c>
      <c r="R38" s="447">
        <f t="shared" si="21"/>
        <v>4498.2955200000006</v>
      </c>
      <c r="S38" s="447">
        <f t="shared" si="21"/>
        <v>4498.2955200000006</v>
      </c>
      <c r="T38" s="447">
        <f t="shared" si="21"/>
        <v>4498.2955200000006</v>
      </c>
      <c r="U38" s="447">
        <f t="shared" si="21"/>
        <v>4498.2955200000006</v>
      </c>
      <c r="V38" s="447">
        <f t="shared" si="21"/>
        <v>4498.2955200000006</v>
      </c>
      <c r="W38" s="447">
        <f t="shared" si="21"/>
        <v>4498.2955200000006</v>
      </c>
      <c r="X38" s="893">
        <f>X34*$B$38</f>
        <v>4498.2955200000006</v>
      </c>
      <c r="Y38" s="195"/>
      <c r="Z38" s="195"/>
      <c r="AA38" s="34"/>
      <c r="AB38" s="34"/>
      <c r="AC38" s="17"/>
      <c r="AD38" s="17"/>
      <c r="AE38" s="17"/>
    </row>
    <row r="39" spans="1:31" ht="12" customHeight="1">
      <c r="A39" s="910" t="s">
        <v>242</v>
      </c>
      <c r="B39" s="447">
        <f>B12</f>
        <v>3020.0940000000001</v>
      </c>
      <c r="C39" s="179"/>
      <c r="D39" s="423">
        <f>D35*$B$39</f>
        <v>251.67449999999999</v>
      </c>
      <c r="E39" s="423">
        <f t="shared" ref="E39:W39" si="22">E35*$B$39</f>
        <v>604.01880000000006</v>
      </c>
      <c r="F39" s="423">
        <f t="shared" si="22"/>
        <v>604.01880000000006</v>
      </c>
      <c r="G39" s="423">
        <f t="shared" si="22"/>
        <v>604.01880000000006</v>
      </c>
      <c r="H39" s="423">
        <f t="shared" si="22"/>
        <v>604.01880000000006</v>
      </c>
      <c r="I39" s="423">
        <f t="shared" si="22"/>
        <v>352.34430000000003</v>
      </c>
      <c r="J39" s="423">
        <f t="shared" si="22"/>
        <v>0</v>
      </c>
      <c r="K39" s="423">
        <f t="shared" si="22"/>
        <v>0</v>
      </c>
      <c r="L39" s="423">
        <f t="shared" si="22"/>
        <v>0</v>
      </c>
      <c r="M39" s="423">
        <f t="shared" si="22"/>
        <v>0</v>
      </c>
      <c r="N39" s="423">
        <f t="shared" si="22"/>
        <v>0</v>
      </c>
      <c r="O39" s="423">
        <f t="shared" si="22"/>
        <v>0</v>
      </c>
      <c r="P39" s="423">
        <f t="shared" si="22"/>
        <v>0</v>
      </c>
      <c r="Q39" s="423">
        <f t="shared" si="22"/>
        <v>0</v>
      </c>
      <c r="R39" s="423">
        <f t="shared" si="22"/>
        <v>0</v>
      </c>
      <c r="S39" s="423">
        <f t="shared" si="22"/>
        <v>0</v>
      </c>
      <c r="T39" s="423">
        <f t="shared" si="22"/>
        <v>0</v>
      </c>
      <c r="U39" s="423">
        <f t="shared" si="22"/>
        <v>0</v>
      </c>
      <c r="V39" s="423">
        <f t="shared" si="22"/>
        <v>0</v>
      </c>
      <c r="W39" s="423">
        <f t="shared" si="22"/>
        <v>0</v>
      </c>
      <c r="X39" s="912">
        <f>X35*$B$39</f>
        <v>0</v>
      </c>
      <c r="Y39" s="196"/>
      <c r="Z39" s="196"/>
      <c r="AA39" s="24"/>
      <c r="AB39" s="24"/>
      <c r="AC39" s="17"/>
      <c r="AD39" s="17"/>
      <c r="AE39" s="35"/>
    </row>
    <row r="40" spans="1:31" ht="12" customHeight="1">
      <c r="A40" s="910" t="s">
        <v>243</v>
      </c>
      <c r="B40" s="423">
        <f>B13</f>
        <v>1243</v>
      </c>
      <c r="C40" s="179"/>
      <c r="D40" s="423">
        <f>D36*$B$40</f>
        <v>25.895833333333332</v>
      </c>
      <c r="E40" s="423">
        <f t="shared" ref="E40:W40" si="23">E36*$B$40</f>
        <v>62.150000000000006</v>
      </c>
      <c r="F40" s="423">
        <f t="shared" si="23"/>
        <v>62.150000000000006</v>
      </c>
      <c r="G40" s="423">
        <f t="shared" si="23"/>
        <v>62.150000000000006</v>
      </c>
      <c r="H40" s="423">
        <f t="shared" si="23"/>
        <v>62.150000000000006</v>
      </c>
      <c r="I40" s="423">
        <f t="shared" si="23"/>
        <v>62.150000000000006</v>
      </c>
      <c r="J40" s="423">
        <f t="shared" si="23"/>
        <v>62.150000000000006</v>
      </c>
      <c r="K40" s="423">
        <f t="shared" si="23"/>
        <v>62.150000000000006</v>
      </c>
      <c r="L40" s="423">
        <f t="shared" si="23"/>
        <v>62.150000000000006</v>
      </c>
      <c r="M40" s="423">
        <f t="shared" si="23"/>
        <v>62.150000000000006</v>
      </c>
      <c r="N40" s="423">
        <f t="shared" si="23"/>
        <v>62.150000000000006</v>
      </c>
      <c r="O40" s="423">
        <f t="shared" si="23"/>
        <v>62.150000000000006</v>
      </c>
      <c r="P40" s="423">
        <f t="shared" si="23"/>
        <v>62.150000000000006</v>
      </c>
      <c r="Q40" s="423">
        <f t="shared" si="23"/>
        <v>62.150000000000006</v>
      </c>
      <c r="R40" s="423">
        <f t="shared" si="23"/>
        <v>62.150000000000006</v>
      </c>
      <c r="S40" s="423">
        <f t="shared" si="23"/>
        <v>62.150000000000006</v>
      </c>
      <c r="T40" s="423">
        <f t="shared" si="23"/>
        <v>62.150000000000006</v>
      </c>
      <c r="U40" s="423">
        <f t="shared" si="23"/>
        <v>62.150000000000006</v>
      </c>
      <c r="V40" s="423">
        <f t="shared" si="23"/>
        <v>62.150000000000006</v>
      </c>
      <c r="W40" s="423">
        <f t="shared" si="23"/>
        <v>62.150000000000006</v>
      </c>
      <c r="X40" s="912">
        <f>X36*$B$40</f>
        <v>36.25416666666667</v>
      </c>
      <c r="Y40" s="197"/>
      <c r="Z40" s="197"/>
      <c r="AA40" s="99"/>
      <c r="AB40" s="99"/>
      <c r="AC40" s="17"/>
      <c r="AD40" s="17"/>
      <c r="AE40" s="35"/>
    </row>
    <row r="41" spans="1:31" ht="12" customHeight="1">
      <c r="A41" s="910" t="s">
        <v>657</v>
      </c>
      <c r="B41" s="423">
        <f>B14</f>
        <v>3000</v>
      </c>
      <c r="C41" s="179"/>
      <c r="D41" s="423"/>
      <c r="E41" s="423">
        <f>D34*$B$41</f>
        <v>37.500000000000007</v>
      </c>
      <c r="F41" s="423">
        <f t="shared" ref="F41:X41" si="24">E34*$B$41</f>
        <v>90</v>
      </c>
      <c r="G41" s="423">
        <f t="shared" si="24"/>
        <v>90</v>
      </c>
      <c r="H41" s="423">
        <f t="shared" si="24"/>
        <v>90</v>
      </c>
      <c r="I41" s="423">
        <f t="shared" si="24"/>
        <v>90</v>
      </c>
      <c r="J41" s="423">
        <f t="shared" si="24"/>
        <v>90</v>
      </c>
      <c r="K41" s="423">
        <f t="shared" si="24"/>
        <v>90</v>
      </c>
      <c r="L41" s="423">
        <f t="shared" si="24"/>
        <v>90</v>
      </c>
      <c r="M41" s="423">
        <f t="shared" si="24"/>
        <v>90</v>
      </c>
      <c r="N41" s="423">
        <f t="shared" si="24"/>
        <v>90</v>
      </c>
      <c r="O41" s="423">
        <f t="shared" si="24"/>
        <v>90</v>
      </c>
      <c r="P41" s="423">
        <f t="shared" si="24"/>
        <v>90</v>
      </c>
      <c r="Q41" s="423">
        <f t="shared" si="24"/>
        <v>90</v>
      </c>
      <c r="R41" s="423">
        <f t="shared" si="24"/>
        <v>90</v>
      </c>
      <c r="S41" s="423">
        <f t="shared" si="24"/>
        <v>90</v>
      </c>
      <c r="T41" s="423">
        <f t="shared" si="24"/>
        <v>90</v>
      </c>
      <c r="U41" s="423">
        <f t="shared" si="24"/>
        <v>90</v>
      </c>
      <c r="V41" s="423">
        <f t="shared" si="24"/>
        <v>90</v>
      </c>
      <c r="W41" s="423">
        <f t="shared" si="24"/>
        <v>90</v>
      </c>
      <c r="X41" s="912">
        <f t="shared" si="24"/>
        <v>90</v>
      </c>
      <c r="Y41" s="197"/>
      <c r="Z41" s="197"/>
      <c r="AA41" s="99"/>
      <c r="AB41" s="99"/>
      <c r="AC41" s="17"/>
      <c r="AD41" s="17"/>
      <c r="AE41" s="35"/>
    </row>
    <row r="42" spans="1:31" ht="12" customHeight="1">
      <c r="A42" s="910" t="s">
        <v>464</v>
      </c>
      <c r="B42" s="439">
        <f>B15</f>
        <v>0</v>
      </c>
      <c r="C42" s="179"/>
      <c r="D42" s="439">
        <f>B42</f>
        <v>0</v>
      </c>
      <c r="E42" s="994">
        <v>0</v>
      </c>
      <c r="F42" s="994">
        <v>0</v>
      </c>
      <c r="G42" s="994">
        <v>0</v>
      </c>
      <c r="H42" s="994">
        <v>0</v>
      </c>
      <c r="I42" s="994">
        <v>0</v>
      </c>
      <c r="J42" s="994">
        <v>0</v>
      </c>
      <c r="K42" s="994">
        <v>0</v>
      </c>
      <c r="L42" s="994">
        <v>0</v>
      </c>
      <c r="M42" s="994">
        <v>0</v>
      </c>
      <c r="N42" s="994">
        <v>0</v>
      </c>
      <c r="O42" s="994">
        <v>0</v>
      </c>
      <c r="P42" s="994">
        <v>0</v>
      </c>
      <c r="Q42" s="994">
        <v>0</v>
      </c>
      <c r="R42" s="994">
        <v>0</v>
      </c>
      <c r="S42" s="994">
        <v>0</v>
      </c>
      <c r="T42" s="994">
        <v>0</v>
      </c>
      <c r="U42" s="994">
        <v>0</v>
      </c>
      <c r="V42" s="994">
        <v>0</v>
      </c>
      <c r="W42" s="994">
        <v>0</v>
      </c>
      <c r="X42" s="995">
        <v>0</v>
      </c>
      <c r="Y42" s="197"/>
      <c r="Z42" s="197"/>
      <c r="AA42" s="99"/>
      <c r="AB42" s="99"/>
      <c r="AC42" s="17"/>
      <c r="AD42" s="17"/>
      <c r="AE42" s="35"/>
    </row>
    <row r="43" spans="1:31" ht="12" customHeight="1">
      <c r="A43" s="910" t="s">
        <v>245</v>
      </c>
      <c r="B43" s="447">
        <f>SUM(B38:B42)</f>
        <v>157206.27800000002</v>
      </c>
      <c r="C43" s="179"/>
      <c r="D43" s="447">
        <f>SUM(D38:D42)</f>
        <v>2151.860133333334</v>
      </c>
      <c r="E43" s="447">
        <f>SUM(E38:E42)</f>
        <v>5201.96432</v>
      </c>
      <c r="F43" s="447">
        <f t="shared" ref="F43:X43" si="25">SUM(F38:F42)</f>
        <v>5254.46432</v>
      </c>
      <c r="G43" s="447">
        <f t="shared" si="25"/>
        <v>5254.46432</v>
      </c>
      <c r="H43" s="447">
        <f t="shared" si="25"/>
        <v>5254.46432</v>
      </c>
      <c r="I43" s="447">
        <f t="shared" si="25"/>
        <v>5002.78982</v>
      </c>
      <c r="J43" s="447">
        <f t="shared" si="25"/>
        <v>4650.4455200000002</v>
      </c>
      <c r="K43" s="447">
        <f t="shared" si="25"/>
        <v>4650.4455200000002</v>
      </c>
      <c r="L43" s="447">
        <f t="shared" si="25"/>
        <v>4650.4455200000002</v>
      </c>
      <c r="M43" s="447">
        <f t="shared" si="25"/>
        <v>4650.4455200000002</v>
      </c>
      <c r="N43" s="447">
        <f t="shared" si="25"/>
        <v>4650.4455200000002</v>
      </c>
      <c r="O43" s="447">
        <f t="shared" si="25"/>
        <v>4650.4455200000002</v>
      </c>
      <c r="P43" s="447">
        <f t="shared" si="25"/>
        <v>4650.4455200000002</v>
      </c>
      <c r="Q43" s="447">
        <f t="shared" si="25"/>
        <v>4650.4455200000002</v>
      </c>
      <c r="R43" s="447">
        <f t="shared" si="25"/>
        <v>4650.4455200000002</v>
      </c>
      <c r="S43" s="447">
        <f t="shared" si="25"/>
        <v>4650.4455200000002</v>
      </c>
      <c r="T43" s="447">
        <f t="shared" si="25"/>
        <v>4650.4455200000002</v>
      </c>
      <c r="U43" s="447">
        <f t="shared" si="25"/>
        <v>4650.4455200000002</v>
      </c>
      <c r="V43" s="447">
        <f t="shared" si="25"/>
        <v>4650.4455200000002</v>
      </c>
      <c r="W43" s="447">
        <f t="shared" si="25"/>
        <v>4650.4455200000002</v>
      </c>
      <c r="X43" s="893">
        <f t="shared" si="25"/>
        <v>4624.5496866666672</v>
      </c>
      <c r="Y43" s="195"/>
      <c r="Z43" s="195"/>
      <c r="AA43" s="34"/>
      <c r="AB43" s="34"/>
      <c r="AC43" s="17"/>
      <c r="AD43" s="17"/>
      <c r="AE43" s="35"/>
    </row>
    <row r="44" spans="1:31" ht="12" customHeight="1">
      <c r="A44" s="910"/>
      <c r="B44" s="447"/>
      <c r="C44" s="179"/>
      <c r="D44" s="447"/>
      <c r="E44" s="447"/>
      <c r="F44" s="447"/>
      <c r="G44" s="447"/>
      <c r="H44" s="447"/>
      <c r="I44" s="447"/>
      <c r="J44" s="447"/>
      <c r="K44" s="447"/>
      <c r="L44" s="447"/>
      <c r="M44" s="447"/>
      <c r="N44" s="447"/>
      <c r="O44" s="447"/>
      <c r="P44" s="447"/>
      <c r="Q44" s="447"/>
      <c r="R44" s="447"/>
      <c r="S44" s="447"/>
      <c r="T44" s="447"/>
      <c r="U44" s="447"/>
      <c r="V44" s="447"/>
      <c r="W44" s="447"/>
      <c r="X44" s="893"/>
      <c r="Y44" s="195"/>
      <c r="Z44" s="195"/>
      <c r="AA44" s="34"/>
      <c r="AB44" s="34"/>
      <c r="AC44" s="17"/>
      <c r="AD44" s="17"/>
      <c r="AE44" s="35"/>
    </row>
    <row r="45" spans="1:31" ht="12" customHeight="1">
      <c r="A45" s="996" t="s">
        <v>246</v>
      </c>
      <c r="B45" s="920"/>
      <c r="C45" s="739"/>
      <c r="D45" s="920">
        <f>B43-D43</f>
        <v>155054.41786666668</v>
      </c>
      <c r="E45" s="920">
        <f>D45-E43</f>
        <v>149852.45354666669</v>
      </c>
      <c r="F45" s="920">
        <f t="shared" ref="F45:W45" si="26">E45-F43</f>
        <v>144597.98922666669</v>
      </c>
      <c r="G45" s="920">
        <f t="shared" si="26"/>
        <v>139343.52490666669</v>
      </c>
      <c r="H45" s="920">
        <f t="shared" si="26"/>
        <v>134089.06058666669</v>
      </c>
      <c r="I45" s="920">
        <f t="shared" si="26"/>
        <v>129086.27076666668</v>
      </c>
      <c r="J45" s="920">
        <f t="shared" si="26"/>
        <v>124435.82524666669</v>
      </c>
      <c r="K45" s="920">
        <f t="shared" si="26"/>
        <v>119785.3797266667</v>
      </c>
      <c r="L45" s="920">
        <f t="shared" si="26"/>
        <v>115134.9342066667</v>
      </c>
      <c r="M45" s="920">
        <f t="shared" si="26"/>
        <v>110484.48868666671</v>
      </c>
      <c r="N45" s="920">
        <f t="shared" si="26"/>
        <v>105834.04316666671</v>
      </c>
      <c r="O45" s="920">
        <f t="shared" si="26"/>
        <v>101183.59764666672</v>
      </c>
      <c r="P45" s="920">
        <f t="shared" si="26"/>
        <v>96533.152126666726</v>
      </c>
      <c r="Q45" s="920">
        <f t="shared" si="26"/>
        <v>91882.706606666732</v>
      </c>
      <c r="R45" s="920">
        <f t="shared" si="26"/>
        <v>87232.261086666738</v>
      </c>
      <c r="S45" s="920">
        <f t="shared" si="26"/>
        <v>82581.815566666744</v>
      </c>
      <c r="T45" s="920">
        <f t="shared" si="26"/>
        <v>77931.370046666751</v>
      </c>
      <c r="U45" s="920">
        <f t="shared" si="26"/>
        <v>73280.924526666757</v>
      </c>
      <c r="V45" s="920">
        <f t="shared" si="26"/>
        <v>68630.479006666763</v>
      </c>
      <c r="W45" s="920">
        <f t="shared" si="26"/>
        <v>63980.033486666762</v>
      </c>
      <c r="X45" s="998">
        <f>W45-X43</f>
        <v>59355.483800000096</v>
      </c>
      <c r="Y45" s="195"/>
      <c r="Z45" s="195"/>
      <c r="AA45" s="34"/>
      <c r="AB45" s="34"/>
      <c r="AC45" s="17"/>
      <c r="AD45" s="17"/>
      <c r="AE45" s="35"/>
    </row>
    <row r="46" spans="1:31" ht="12" customHeight="1"/>
    <row r="47" spans="1:31" ht="12" customHeight="1">
      <c r="A47" s="985" t="s">
        <v>119</v>
      </c>
      <c r="B47" s="1005" t="s">
        <v>0</v>
      </c>
      <c r="C47" s="641" t="s">
        <v>339</v>
      </c>
      <c r="D47" s="642">
        <v>1</v>
      </c>
      <c r="E47" s="642">
        <f>D47+1</f>
        <v>2</v>
      </c>
      <c r="F47" s="642">
        <f t="shared" ref="F47:W47" si="27">E47+1</f>
        <v>3</v>
      </c>
      <c r="G47" s="642">
        <f t="shared" si="27"/>
        <v>4</v>
      </c>
      <c r="H47" s="642">
        <f t="shared" si="27"/>
        <v>5</v>
      </c>
      <c r="I47" s="642">
        <f t="shared" si="27"/>
        <v>6</v>
      </c>
      <c r="J47" s="642">
        <f t="shared" si="27"/>
        <v>7</v>
      </c>
      <c r="K47" s="1006">
        <f t="shared" si="27"/>
        <v>8</v>
      </c>
      <c r="L47" s="642">
        <f t="shared" si="27"/>
        <v>9</v>
      </c>
      <c r="M47" s="642">
        <f t="shared" si="27"/>
        <v>10</v>
      </c>
      <c r="N47" s="642">
        <f t="shared" si="27"/>
        <v>11</v>
      </c>
      <c r="O47" s="642">
        <f t="shared" si="27"/>
        <v>12</v>
      </c>
      <c r="P47" s="642">
        <f t="shared" si="27"/>
        <v>13</v>
      </c>
      <c r="Q47" s="1006">
        <f t="shared" si="27"/>
        <v>14</v>
      </c>
      <c r="R47" s="642">
        <f t="shared" si="27"/>
        <v>15</v>
      </c>
      <c r="S47" s="642">
        <f t="shared" si="27"/>
        <v>16</v>
      </c>
      <c r="T47" s="642">
        <f t="shared" si="27"/>
        <v>17</v>
      </c>
      <c r="U47" s="642">
        <f t="shared" si="27"/>
        <v>18</v>
      </c>
      <c r="V47" s="642">
        <f t="shared" si="27"/>
        <v>19</v>
      </c>
      <c r="W47" s="1006">
        <f t="shared" si="27"/>
        <v>20</v>
      </c>
      <c r="X47" s="1007">
        <f>W47+1</f>
        <v>21</v>
      </c>
      <c r="Y47" s="184"/>
      <c r="Z47" s="184"/>
      <c r="AA47" s="1"/>
      <c r="AB47" s="1"/>
      <c r="AC47" s="2"/>
      <c r="AE47" s="31"/>
    </row>
    <row r="48" spans="1:31" ht="12" customHeight="1">
      <c r="A48" s="910" t="s">
        <v>255</v>
      </c>
      <c r="B48" s="447">
        <f>('Project Assumptions'!C14+'Project Assumptions'!C15)*'Project Assumptions'!$U$6</f>
        <v>16787.374349999998</v>
      </c>
      <c r="C48" s="898">
        <f>AVERAGE(D48:W48)</f>
        <v>0.65450000000000008</v>
      </c>
      <c r="D48" s="1001">
        <v>0</v>
      </c>
      <c r="E48" s="1001">
        <v>0.99</v>
      </c>
      <c r="F48" s="1001">
        <v>0.97</v>
      </c>
      <c r="G48" s="1001">
        <v>0.95</v>
      </c>
      <c r="H48" s="1001">
        <v>0.93</v>
      </c>
      <c r="I48" s="1001">
        <v>0.91</v>
      </c>
      <c r="J48" s="1001">
        <v>0.89</v>
      </c>
      <c r="K48" s="1001">
        <v>0.86</v>
      </c>
      <c r="L48" s="1001">
        <v>0.83</v>
      </c>
      <c r="M48" s="1001">
        <v>0.8</v>
      </c>
      <c r="N48" s="1001">
        <v>0.76</v>
      </c>
      <c r="O48" s="1001">
        <v>0.72</v>
      </c>
      <c r="P48" s="1001">
        <v>0.67</v>
      </c>
      <c r="Q48" s="1001">
        <v>0.61</v>
      </c>
      <c r="R48" s="1001">
        <v>0.55000000000000004</v>
      </c>
      <c r="S48" s="1001">
        <v>0.49</v>
      </c>
      <c r="T48" s="1001">
        <v>0.41</v>
      </c>
      <c r="U48" s="1001">
        <v>0.32</v>
      </c>
      <c r="V48" s="1001">
        <v>0.23</v>
      </c>
      <c r="W48" s="1001">
        <v>0.2</v>
      </c>
      <c r="X48" s="1002">
        <v>0.2</v>
      </c>
      <c r="Y48" s="198"/>
      <c r="Z48" s="198"/>
      <c r="AA48" s="135"/>
      <c r="AB48" s="135"/>
      <c r="AC48" s="97"/>
      <c r="AD48" s="32"/>
      <c r="AE48" s="33"/>
    </row>
    <row r="49" spans="1:31" ht="11.25" customHeight="1">
      <c r="A49" s="910" t="s">
        <v>251</v>
      </c>
      <c r="B49" s="436"/>
      <c r="C49" s="179"/>
      <c r="D49" s="419">
        <v>0</v>
      </c>
      <c r="E49" s="419">
        <f t="shared" ref="E49:X49" si="28">$B$48*E48</f>
        <v>16619.500606499998</v>
      </c>
      <c r="F49" s="419">
        <f t="shared" si="28"/>
        <v>16283.753119499997</v>
      </c>
      <c r="G49" s="419">
        <f t="shared" si="28"/>
        <v>15948.005632499997</v>
      </c>
      <c r="H49" s="419">
        <f t="shared" si="28"/>
        <v>15612.2581455</v>
      </c>
      <c r="I49" s="419">
        <f t="shared" si="28"/>
        <v>15276.510658499999</v>
      </c>
      <c r="J49" s="419">
        <f t="shared" si="28"/>
        <v>14940.763171499999</v>
      </c>
      <c r="K49" s="419">
        <f t="shared" si="28"/>
        <v>14437.141940999998</v>
      </c>
      <c r="L49" s="419">
        <f t="shared" si="28"/>
        <v>13933.520710499997</v>
      </c>
      <c r="M49" s="419">
        <f t="shared" si="28"/>
        <v>13429.89948</v>
      </c>
      <c r="N49" s="419">
        <f t="shared" si="28"/>
        <v>12758.404505999999</v>
      </c>
      <c r="O49" s="419">
        <f t="shared" si="28"/>
        <v>12086.909531999998</v>
      </c>
      <c r="P49" s="419">
        <f t="shared" si="28"/>
        <v>11247.5408145</v>
      </c>
      <c r="Q49" s="419">
        <f t="shared" si="28"/>
        <v>10240.298353499998</v>
      </c>
      <c r="R49" s="419">
        <f t="shared" si="28"/>
        <v>9233.0558925000005</v>
      </c>
      <c r="S49" s="419">
        <f t="shared" si="28"/>
        <v>8225.8134314999988</v>
      </c>
      <c r="T49" s="419">
        <f t="shared" si="28"/>
        <v>6882.8234834999985</v>
      </c>
      <c r="U49" s="419">
        <f t="shared" si="28"/>
        <v>5371.9597919999997</v>
      </c>
      <c r="V49" s="419">
        <f t="shared" si="28"/>
        <v>3861.0961004999999</v>
      </c>
      <c r="W49" s="419">
        <f t="shared" si="28"/>
        <v>3357.47487</v>
      </c>
      <c r="X49" s="955">
        <f t="shared" si="28"/>
        <v>3357.47487</v>
      </c>
      <c r="Y49" s="201"/>
      <c r="Z49" s="201"/>
      <c r="AA49" s="37"/>
      <c r="AB49" s="37"/>
      <c r="AC49" s="35"/>
    </row>
    <row r="50" spans="1:31" ht="11.25" customHeight="1">
      <c r="A50" s="910"/>
      <c r="B50" s="420"/>
      <c r="C50" s="179"/>
      <c r="D50" s="426"/>
      <c r="E50" s="426"/>
      <c r="F50" s="426"/>
      <c r="G50" s="426"/>
      <c r="H50" s="426"/>
      <c r="I50" s="426"/>
      <c r="J50" s="426"/>
      <c r="K50" s="426"/>
      <c r="L50" s="426"/>
      <c r="M50" s="426"/>
      <c r="N50" s="426"/>
      <c r="O50" s="426"/>
      <c r="P50" s="426"/>
      <c r="Q50" s="426"/>
      <c r="R50" s="426"/>
      <c r="S50" s="426"/>
      <c r="T50" s="426"/>
      <c r="U50" s="426"/>
      <c r="V50" s="426"/>
      <c r="W50" s="426"/>
      <c r="X50" s="913"/>
      <c r="Y50" s="202"/>
      <c r="Z50" s="202"/>
      <c r="AA50" s="35"/>
      <c r="AB50" s="35"/>
      <c r="AC50" s="35"/>
      <c r="AD50" s="17"/>
      <c r="AE50" s="17"/>
    </row>
    <row r="51" spans="1:31" ht="12" customHeight="1">
      <c r="A51" s="910" t="s">
        <v>280</v>
      </c>
      <c r="B51" s="1008"/>
      <c r="C51" s="179"/>
      <c r="D51" s="447">
        <f>IF(D4=1,0,IF(D47&gt;ProjectLife,0,IF(ISNUMBER(SchoolTaxAbatementTerm),IF(C47&gt;SchoolTaxAbatementTerm,D49*SchoolMillageRate,D49*SchoolMillageRate*SchoolAbatementRate))))</f>
        <v>0</v>
      </c>
      <c r="E51" s="447">
        <f t="shared" ref="E51:W51" si="29">IF(E4=1,0,IF(E47&gt;ProjectLife,0,IF(ISNUMBER(SchoolTaxAbatementTerm),IF(D47&gt;SchoolTaxAbatementTerm,E49*SchoolMillageRate,E49*SchoolMillageRate*SchoolAbatementRate))))</f>
        <v>271.28564823343493</v>
      </c>
      <c r="F51" s="447">
        <f t="shared" si="29"/>
        <v>265.80513008730497</v>
      </c>
      <c r="G51" s="447">
        <f t="shared" si="29"/>
        <v>260.32461194117491</v>
      </c>
      <c r="H51" s="447">
        <f t="shared" si="29"/>
        <v>254.84409379504498</v>
      </c>
      <c r="I51" s="447">
        <f t="shared" si="29"/>
        <v>249.363575648915</v>
      </c>
      <c r="J51" s="447">
        <f t="shared" si="29"/>
        <v>243.88305750278496</v>
      </c>
      <c r="K51" s="447">
        <f t="shared" si="29"/>
        <v>235.66228028358995</v>
      </c>
      <c r="L51" s="447">
        <f t="shared" si="29"/>
        <v>227.44150306439496</v>
      </c>
      <c r="M51" s="447">
        <f t="shared" si="29"/>
        <v>219.22072584519998</v>
      </c>
      <c r="N51" s="447">
        <f t="shared" si="29"/>
        <v>208.25968955293996</v>
      </c>
      <c r="O51" s="447">
        <f t="shared" si="29"/>
        <v>591.89595978203988</v>
      </c>
      <c r="P51" s="447">
        <f t="shared" si="29"/>
        <v>550.79207368606501</v>
      </c>
      <c r="Q51" s="447">
        <f t="shared" si="29"/>
        <v>501.46741037089492</v>
      </c>
      <c r="R51" s="447">
        <f t="shared" si="29"/>
        <v>452.14274705572501</v>
      </c>
      <c r="S51" s="447">
        <f t="shared" si="29"/>
        <v>402.81808374055493</v>
      </c>
      <c r="T51" s="447">
        <f t="shared" si="29"/>
        <v>337.05186598699493</v>
      </c>
      <c r="U51" s="447">
        <f t="shared" si="29"/>
        <v>263.06487101424</v>
      </c>
      <c r="V51" s="447">
        <f t="shared" si="29"/>
        <v>189.07787604148498</v>
      </c>
      <c r="W51" s="447">
        <f t="shared" si="29"/>
        <v>164.4155443839</v>
      </c>
      <c r="X51" s="893">
        <f>IF(X4=1,0,IF(X47&gt;ProjectLife+1,0,IF(ISNUMBER(SchoolTaxAbatementTerm),IF(W47&gt;SchoolTaxAbatementTerm,X49*SchoolMillageRate,X49*SchoolMillageRate*SchoolAbatementRate))))</f>
        <v>164.4155443839</v>
      </c>
      <c r="Y51" s="195"/>
      <c r="Z51" s="195"/>
      <c r="AA51" s="34"/>
      <c r="AB51" s="34"/>
      <c r="AC51" s="34"/>
      <c r="AD51" s="32"/>
      <c r="AE51" s="33"/>
    </row>
    <row r="52" spans="1:31" ht="12" customHeight="1">
      <c r="A52" s="910" t="s">
        <v>281</v>
      </c>
      <c r="B52" s="1008"/>
      <c r="C52" s="179"/>
      <c r="D52" s="447">
        <f>IF(D47=1,0,IF(D47&gt;ProjectLife,0,IF(ISNUMBER(CountyTaxAbatementTerm),IF(C47&gt;CountyTaxAbatementTerm,D49*CountyMillageRate,D49*CountyMillageRate*CountyAbatementRate))))</f>
        <v>0</v>
      </c>
      <c r="E52" s="447">
        <f>IF(E47=1,0,IF(E47&gt;ProjectLife,0,IF(ISNUMBER(CountyTaxAbatementTerm),IF(D47&gt;CountyTaxAbatementTerm,E49*CountyMillageRate,E49*CountyMillageRate*CountyAbatementRate))))</f>
        <v>277.87805014067999</v>
      </c>
      <c r="F52" s="447">
        <f t="shared" ref="F52:W52" si="30">IF(F47=1,0,IF(F47&gt;ProjectLife,0,IF(ISNUMBER(CountyTaxAbatementTerm),IF(E47&gt;CountyTaxAbatementTerm,F49*CountyMillageRate,F49*CountyMillageRate*CountyAbatementRate))))</f>
        <v>272.26435215803997</v>
      </c>
      <c r="G52" s="447">
        <f t="shared" si="30"/>
        <v>266.65065417539995</v>
      </c>
      <c r="H52" s="447">
        <f t="shared" si="30"/>
        <v>261.03695619275999</v>
      </c>
      <c r="I52" s="447">
        <f t="shared" si="30"/>
        <v>255.42325821012003</v>
      </c>
      <c r="J52" s="447">
        <f t="shared" si="30"/>
        <v>249.80956022748001</v>
      </c>
      <c r="K52" s="447">
        <f t="shared" si="30"/>
        <v>241.38901325351998</v>
      </c>
      <c r="L52" s="447">
        <f t="shared" si="30"/>
        <v>232.96846627955998</v>
      </c>
      <c r="M52" s="447">
        <f t="shared" si="30"/>
        <v>224.5479193056</v>
      </c>
      <c r="N52" s="447">
        <f t="shared" si="30"/>
        <v>213.32052334031999</v>
      </c>
      <c r="O52" s="447">
        <f t="shared" si="30"/>
        <v>606.27938212511992</v>
      </c>
      <c r="P52" s="447">
        <f t="shared" si="30"/>
        <v>564.17664725532006</v>
      </c>
      <c r="Q52" s="447">
        <f t="shared" si="30"/>
        <v>513.65336541156</v>
      </c>
      <c r="R52" s="447">
        <f t="shared" si="30"/>
        <v>463.13008356780006</v>
      </c>
      <c r="S52" s="447">
        <f t="shared" si="30"/>
        <v>412.60680172403994</v>
      </c>
      <c r="T52" s="447">
        <f t="shared" si="30"/>
        <v>345.24242593235994</v>
      </c>
      <c r="U52" s="447">
        <f t="shared" si="30"/>
        <v>269.45750316672002</v>
      </c>
      <c r="V52" s="447">
        <f t="shared" si="30"/>
        <v>193.67258040108001</v>
      </c>
      <c r="W52" s="447">
        <f t="shared" si="30"/>
        <v>168.41093947920001</v>
      </c>
      <c r="X52" s="893">
        <f>IF(X47=1,0,IF(X47&gt;ProjectLife+1,0,IF(ISNUMBER(CountyTaxAbatementTerm),IF(W47&gt;CountyTaxAbatementTerm,X49*CountyMillageRate,X49*CountyMillageRate*CountyAbatementRate))))</f>
        <v>168.41093947920001</v>
      </c>
      <c r="Y52" s="195"/>
      <c r="Z52" s="195"/>
      <c r="AA52" s="34"/>
      <c r="AB52" s="34"/>
      <c r="AC52" s="24"/>
      <c r="AD52" s="32"/>
      <c r="AE52" s="33"/>
    </row>
    <row r="53" spans="1:31" ht="12" customHeight="1">
      <c r="A53" s="996" t="s">
        <v>268</v>
      </c>
      <c r="B53" s="1009"/>
      <c r="C53" s="739"/>
      <c r="D53" s="1010">
        <v>0</v>
      </c>
      <c r="E53" s="1010">
        <v>0</v>
      </c>
      <c r="F53" s="1010">
        <v>0</v>
      </c>
      <c r="G53" s="1010">
        <v>0</v>
      </c>
      <c r="H53" s="1010">
        <v>0</v>
      </c>
      <c r="I53" s="1010">
        <v>0</v>
      </c>
      <c r="J53" s="1010">
        <v>0</v>
      </c>
      <c r="K53" s="1010">
        <v>0</v>
      </c>
      <c r="L53" s="1010">
        <v>0</v>
      </c>
      <c r="M53" s="1010">
        <v>0</v>
      </c>
      <c r="N53" s="1010">
        <v>0</v>
      </c>
      <c r="O53" s="1010">
        <v>0</v>
      </c>
      <c r="P53" s="1010">
        <v>0</v>
      </c>
      <c r="Q53" s="1010">
        <v>0</v>
      </c>
      <c r="R53" s="1010">
        <v>0</v>
      </c>
      <c r="S53" s="1010">
        <v>0</v>
      </c>
      <c r="T53" s="1010">
        <v>0</v>
      </c>
      <c r="U53" s="1010">
        <v>0</v>
      </c>
      <c r="V53" s="1010">
        <v>0</v>
      </c>
      <c r="W53" s="1010">
        <v>0</v>
      </c>
      <c r="X53" s="1011">
        <v>0</v>
      </c>
      <c r="Y53" s="196"/>
      <c r="Z53" s="196"/>
      <c r="AA53" s="24"/>
      <c r="AB53" s="24"/>
      <c r="AC53" s="99"/>
      <c r="AD53" s="32"/>
      <c r="AE53" s="33"/>
    </row>
    <row r="54" spans="1:31" ht="12" customHeight="1">
      <c r="A54" s="191"/>
      <c r="B54" s="203"/>
      <c r="D54" s="197"/>
      <c r="G54" s="197"/>
      <c r="H54" s="197"/>
      <c r="I54" s="197"/>
      <c r="J54" s="197"/>
      <c r="K54" s="197"/>
      <c r="L54" s="197"/>
      <c r="M54" s="197"/>
      <c r="N54" s="197"/>
      <c r="O54" s="197"/>
      <c r="P54" s="197"/>
      <c r="Q54" s="197"/>
      <c r="R54" s="197"/>
      <c r="S54" s="197"/>
      <c r="T54" s="197"/>
      <c r="U54" s="197"/>
      <c r="V54" s="197"/>
      <c r="W54" s="197"/>
      <c r="X54" s="197"/>
      <c r="Y54" s="197"/>
      <c r="Z54" s="197"/>
      <c r="AA54" s="99"/>
      <c r="AB54" s="99"/>
      <c r="AC54" s="99"/>
      <c r="AD54" s="32"/>
      <c r="AE54" s="33"/>
    </row>
    <row r="55" spans="1:31" ht="12" customHeight="1">
      <c r="A55" s="190"/>
      <c r="B55" s="204"/>
      <c r="D55" s="197"/>
      <c r="G55" s="197"/>
      <c r="H55" s="197"/>
      <c r="I55" s="197"/>
      <c r="J55" s="197"/>
      <c r="K55" s="197"/>
      <c r="L55" s="197"/>
      <c r="M55" s="197"/>
      <c r="N55" s="197"/>
      <c r="O55" s="197"/>
      <c r="P55" s="197"/>
      <c r="Q55" s="197"/>
      <c r="R55" s="197"/>
      <c r="S55" s="197"/>
      <c r="T55" s="197"/>
      <c r="U55" s="197"/>
      <c r="V55" s="197"/>
      <c r="W55" s="197"/>
      <c r="X55" s="197"/>
      <c r="Y55" s="197"/>
      <c r="Z55" s="197"/>
      <c r="AA55" s="99"/>
      <c r="AB55" s="99"/>
      <c r="AC55" s="99"/>
      <c r="AD55" s="32"/>
      <c r="AE55" s="33"/>
    </row>
    <row r="56" spans="1:31" ht="12" customHeight="1">
      <c r="A56" s="190"/>
      <c r="B56" s="205"/>
      <c r="C56" s="170" t="s">
        <v>339</v>
      </c>
      <c r="D56" s="206"/>
      <c r="E56" s="206"/>
      <c r="F56" s="206"/>
      <c r="G56" s="206"/>
      <c r="H56" s="206"/>
      <c r="I56" s="206"/>
      <c r="J56" s="206"/>
      <c r="K56" s="206"/>
      <c r="L56" s="206"/>
      <c r="M56" s="206"/>
      <c r="N56" s="206"/>
      <c r="O56" s="206"/>
      <c r="P56" s="206"/>
      <c r="Q56" s="206"/>
      <c r="R56" s="206"/>
      <c r="S56" s="206"/>
      <c r="T56" s="206"/>
      <c r="U56" s="206"/>
      <c r="V56" s="206"/>
      <c r="W56" s="206"/>
      <c r="X56" s="206"/>
      <c r="Y56" s="197"/>
      <c r="Z56" s="197"/>
      <c r="AA56" s="99"/>
      <c r="AB56" s="99"/>
      <c r="AC56" s="99"/>
      <c r="AD56" s="32"/>
      <c r="AE56" s="33"/>
    </row>
    <row r="57" spans="1:31" s="98" customFormat="1">
      <c r="A57" s="170" t="s">
        <v>267</v>
      </c>
      <c r="B57" s="170"/>
      <c r="C57" s="207">
        <f>AVERAGE(D57:W57)</f>
        <v>596.0367615181683</v>
      </c>
      <c r="D57" s="201">
        <f>SUM(D51:D53)</f>
        <v>0</v>
      </c>
      <c r="E57" s="201">
        <f>SUM(E51:E53)</f>
        <v>549.16369837411492</v>
      </c>
      <c r="F57" s="201">
        <f t="shared" ref="F57:W57" si="31">SUM(F51:F53)</f>
        <v>538.06948224534494</v>
      </c>
      <c r="G57" s="201">
        <f t="shared" si="31"/>
        <v>526.97526611657486</v>
      </c>
      <c r="H57" s="201">
        <f t="shared" si="31"/>
        <v>515.881049987805</v>
      </c>
      <c r="I57" s="201">
        <f t="shared" si="31"/>
        <v>504.78683385903503</v>
      </c>
      <c r="J57" s="201">
        <f t="shared" si="31"/>
        <v>493.69261773026494</v>
      </c>
      <c r="K57" s="201">
        <f t="shared" si="31"/>
        <v>477.05129353710993</v>
      </c>
      <c r="L57" s="201">
        <f t="shared" si="31"/>
        <v>460.40996934395491</v>
      </c>
      <c r="M57" s="201">
        <f t="shared" si="31"/>
        <v>443.76864515080001</v>
      </c>
      <c r="N57" s="201">
        <f t="shared" si="31"/>
        <v>421.58021289325995</v>
      </c>
      <c r="O57" s="201">
        <f t="shared" si="31"/>
        <v>1198.1753419071597</v>
      </c>
      <c r="P57" s="201">
        <f t="shared" si="31"/>
        <v>1114.9687209413851</v>
      </c>
      <c r="Q57" s="201">
        <f t="shared" si="31"/>
        <v>1015.120775782455</v>
      </c>
      <c r="R57" s="201">
        <f t="shared" si="31"/>
        <v>915.27283062352512</v>
      </c>
      <c r="S57" s="201">
        <f t="shared" si="31"/>
        <v>815.42488546459481</v>
      </c>
      <c r="T57" s="201">
        <f t="shared" si="31"/>
        <v>682.29429191935492</v>
      </c>
      <c r="U57" s="201">
        <f t="shared" si="31"/>
        <v>532.52237418096001</v>
      </c>
      <c r="V57" s="201">
        <f t="shared" si="31"/>
        <v>382.750456442565</v>
      </c>
      <c r="W57" s="201">
        <f t="shared" si="31"/>
        <v>332.82648386310001</v>
      </c>
      <c r="X57" s="201">
        <f>SUM(X51:X53)</f>
        <v>332.82648386310001</v>
      </c>
      <c r="Y57" s="201"/>
      <c r="Z57" s="201"/>
      <c r="AA57" s="100"/>
      <c r="AB57" s="100"/>
      <c r="AC57" s="100"/>
    </row>
    <row r="58" spans="1:31" ht="11.25" customHeight="1">
      <c r="A58" s="191"/>
      <c r="B58" s="192"/>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34"/>
      <c r="AB58" s="34"/>
      <c r="AC58" s="32"/>
      <c r="AD58" s="32"/>
      <c r="AE58" s="33"/>
    </row>
    <row r="59" spans="1:31" customFormat="1" ht="12.75">
      <c r="A59" s="16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row>
    <row r="60" spans="1:31" customFormat="1" ht="12.75">
      <c r="A60" s="16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row>
    <row r="61" spans="1:31" customFormat="1" ht="12" customHeight="1">
      <c r="A61" s="16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row>
    <row r="62" spans="1:31" customFormat="1" ht="12" customHeight="1">
      <c r="A62" s="16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row>
    <row r="63" spans="1:31" customFormat="1" ht="12" customHeight="1">
      <c r="A63" s="16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row>
    <row r="64" spans="1:31" customFormat="1" ht="12" customHeight="1">
      <c r="A64" s="16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row>
    <row r="65" spans="1:31" customFormat="1" ht="12.75">
      <c r="A65" s="16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row>
    <row r="66" spans="1:31" customFormat="1" ht="18" customHeight="1">
      <c r="A66" s="16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row>
    <row r="67" spans="1:31" customFormat="1" ht="12.75">
      <c r="A67" s="16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row>
    <row r="68" spans="1:31" customFormat="1" ht="12.75">
      <c r="A68" s="16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row>
    <row r="69" spans="1:31" customFormat="1" ht="12" customHeight="1">
      <c r="A69" s="16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row>
    <row r="70" spans="1:31" customFormat="1" ht="14.25" customHeight="1">
      <c r="A70" s="16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row>
    <row r="71" spans="1:31" customFormat="1" ht="14.25" customHeight="1">
      <c r="A71" s="16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row>
    <row r="72" spans="1:31" customFormat="1" ht="12.75">
      <c r="A72" s="16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row>
    <row r="73" spans="1:31" ht="11.25" customHeight="1">
      <c r="A73" s="191"/>
      <c r="B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7"/>
      <c r="AB73" s="17"/>
      <c r="AC73" s="17"/>
      <c r="AD73" s="17"/>
      <c r="AE73" s="35"/>
    </row>
    <row r="74" spans="1:31" ht="11.25" customHeight="1">
      <c r="A74" s="191"/>
      <c r="B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7"/>
      <c r="AB74" s="17"/>
      <c r="AC74" s="17"/>
      <c r="AD74" s="17"/>
      <c r="AE74" s="35"/>
    </row>
    <row r="75" spans="1:31" ht="11.25" customHeight="1">
      <c r="A75" s="208" t="s">
        <v>71</v>
      </c>
      <c r="B75" s="209"/>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7"/>
      <c r="AB75" s="17"/>
      <c r="AC75" s="17"/>
      <c r="AD75" s="17"/>
      <c r="AE75" s="35"/>
    </row>
    <row r="76" spans="1:31" ht="11.25" customHeight="1">
      <c r="A76" s="163" t="s">
        <v>72</v>
      </c>
      <c r="B76" s="16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7"/>
      <c r="AB76" s="17"/>
      <c r="AC76" s="17"/>
      <c r="AD76" s="17"/>
      <c r="AE76" s="35"/>
    </row>
    <row r="77" spans="1:31" ht="12.75">
      <c r="A77" s="163" t="s">
        <v>7</v>
      </c>
      <c r="B77" s="209" t="s">
        <v>73</v>
      </c>
    </row>
    <row r="78" spans="1:31" ht="12.75">
      <c r="A78" s="163">
        <v>1</v>
      </c>
      <c r="B78" s="537">
        <v>0.05</v>
      </c>
    </row>
    <row r="79" spans="1:31" ht="12.75">
      <c r="A79" s="163">
        <v>2</v>
      </c>
      <c r="B79" s="537">
        <v>9.5000000000000001E-2</v>
      </c>
    </row>
    <row r="80" spans="1:31" ht="12.75">
      <c r="A80" s="163">
        <v>3</v>
      </c>
      <c r="B80" s="537">
        <v>8.5500000000000007E-2</v>
      </c>
    </row>
    <row r="81" spans="1:2" ht="12.75">
      <c r="A81" s="163">
        <v>4</v>
      </c>
      <c r="B81" s="537">
        <v>7.6999999999999999E-2</v>
      </c>
    </row>
    <row r="82" spans="1:2" ht="12.75">
      <c r="A82" s="163">
        <v>5</v>
      </c>
      <c r="B82" s="537">
        <v>6.93E-2</v>
      </c>
    </row>
    <row r="83" spans="1:2" ht="12.75">
      <c r="A83" s="163">
        <v>6</v>
      </c>
      <c r="B83" s="537">
        <v>6.2300000000000001E-2</v>
      </c>
    </row>
    <row r="84" spans="1:2" ht="12.75">
      <c r="A84" s="163">
        <v>7</v>
      </c>
      <c r="B84" s="537">
        <v>5.8999999999999997E-2</v>
      </c>
    </row>
    <row r="85" spans="1:2" ht="12.75">
      <c r="A85" s="163">
        <v>8</v>
      </c>
      <c r="B85" s="537">
        <v>5.91E-2</v>
      </c>
    </row>
    <row r="86" spans="1:2" ht="12.75">
      <c r="A86" s="163">
        <v>9</v>
      </c>
      <c r="B86" s="537">
        <v>5.8999999999999997E-2</v>
      </c>
    </row>
    <row r="87" spans="1:2" ht="12.75">
      <c r="A87" s="163">
        <v>10</v>
      </c>
      <c r="B87" s="537">
        <v>5.91E-2</v>
      </c>
    </row>
    <row r="88" spans="1:2" ht="12.75">
      <c r="A88" s="163">
        <v>11</v>
      </c>
      <c r="B88" s="537">
        <v>5.8999999999999997E-2</v>
      </c>
    </row>
    <row r="89" spans="1:2" ht="12.75">
      <c r="A89" s="163">
        <v>12</v>
      </c>
      <c r="B89" s="537">
        <v>5.91E-2</v>
      </c>
    </row>
    <row r="90" spans="1:2" ht="12.75">
      <c r="A90" s="163">
        <v>13</v>
      </c>
      <c r="B90" s="537">
        <v>5.8999999999999997E-2</v>
      </c>
    </row>
    <row r="91" spans="1:2" ht="12.75">
      <c r="A91" s="163">
        <v>14</v>
      </c>
      <c r="B91" s="537">
        <v>5.91E-2</v>
      </c>
    </row>
    <row r="92" spans="1:2" ht="12.75">
      <c r="A92" s="163">
        <v>15</v>
      </c>
      <c r="B92" s="537">
        <v>5.8999999999999997E-2</v>
      </c>
    </row>
    <row r="93" spans="1:2" ht="12.75">
      <c r="A93" s="163">
        <v>16</v>
      </c>
      <c r="B93" s="537">
        <v>2.9499999999999998E-2</v>
      </c>
    </row>
    <row r="94" spans="1:2">
      <c r="B94" s="538">
        <f>SUM(B78:B93)</f>
        <v>1.0000000000000004</v>
      </c>
    </row>
    <row r="95" spans="1:2" ht="12.75">
      <c r="A95" s="208" t="s">
        <v>74</v>
      </c>
      <c r="B95" s="163"/>
    </row>
    <row r="96" spans="1:2" ht="12.75">
      <c r="A96" s="163" t="s">
        <v>72</v>
      </c>
      <c r="B96" s="163"/>
    </row>
    <row r="97" spans="1:2" ht="12.75">
      <c r="A97" s="163" t="s">
        <v>7</v>
      </c>
      <c r="B97" s="163" t="s">
        <v>73</v>
      </c>
    </row>
    <row r="98" spans="1:2" ht="12.75">
      <c r="A98" s="163">
        <v>1</v>
      </c>
      <c r="B98" s="210">
        <v>3.7499999999999999E-2</v>
      </c>
    </row>
    <row r="99" spans="1:2" ht="12.75">
      <c r="A99" s="163">
        <v>2</v>
      </c>
      <c r="B99" s="210">
        <v>7.2190000000000004E-2</v>
      </c>
    </row>
    <row r="100" spans="1:2" ht="12.75">
      <c r="A100" s="163">
        <v>3</v>
      </c>
      <c r="B100" s="210">
        <v>6.6769999999999996E-2</v>
      </c>
    </row>
    <row r="101" spans="1:2" ht="12.75">
      <c r="A101" s="163">
        <v>4</v>
      </c>
      <c r="B101" s="210">
        <v>6.1769999999999999E-2</v>
      </c>
    </row>
    <row r="102" spans="1:2" ht="12.75">
      <c r="A102" s="163">
        <v>5</v>
      </c>
      <c r="B102" s="210">
        <v>5.713E-2</v>
      </c>
    </row>
    <row r="103" spans="1:2" ht="12.75">
      <c r="A103" s="163">
        <v>6</v>
      </c>
      <c r="B103" s="210">
        <v>5.2850000000000001E-2</v>
      </c>
    </row>
    <row r="104" spans="1:2" ht="12.75">
      <c r="A104" s="163">
        <v>7</v>
      </c>
      <c r="B104" s="210">
        <v>4.888E-2</v>
      </c>
    </row>
    <row r="105" spans="1:2" ht="12.75">
      <c r="A105" s="163">
        <v>8</v>
      </c>
      <c r="B105" s="210">
        <v>4.5220000000000003E-2</v>
      </c>
    </row>
    <row r="106" spans="1:2" ht="12.75">
      <c r="A106" s="163">
        <v>9</v>
      </c>
      <c r="B106" s="210">
        <v>4.462E-2</v>
      </c>
    </row>
    <row r="107" spans="1:2" ht="12.75">
      <c r="A107" s="163">
        <v>10</v>
      </c>
      <c r="B107" s="210">
        <v>4.4609999999999997E-2</v>
      </c>
    </row>
    <row r="108" spans="1:2" ht="12.75">
      <c r="A108" s="163">
        <v>11</v>
      </c>
      <c r="B108" s="210">
        <v>4.462E-2</v>
      </c>
    </row>
    <row r="109" spans="1:2" ht="12.75">
      <c r="A109" s="163">
        <v>12</v>
      </c>
      <c r="B109" s="210">
        <v>4.4609999999999997E-2</v>
      </c>
    </row>
    <row r="110" spans="1:2" ht="12.75">
      <c r="A110" s="163">
        <v>13</v>
      </c>
      <c r="B110" s="210">
        <v>4.462E-2</v>
      </c>
    </row>
    <row r="111" spans="1:2" ht="12.75">
      <c r="A111" s="163">
        <v>14</v>
      </c>
      <c r="B111" s="210">
        <v>4.4609999999999997E-2</v>
      </c>
    </row>
    <row r="112" spans="1:2" ht="12.75">
      <c r="A112" s="163">
        <v>15</v>
      </c>
      <c r="B112" s="210">
        <v>4.462E-2</v>
      </c>
    </row>
    <row r="113" spans="1:2" ht="12.75">
      <c r="A113" s="163">
        <v>16</v>
      </c>
      <c r="B113" s="210">
        <v>4.4609999999999997E-2</v>
      </c>
    </row>
    <row r="114" spans="1:2" ht="12.75">
      <c r="A114" s="163">
        <v>17</v>
      </c>
      <c r="B114" s="210">
        <v>4.462E-2</v>
      </c>
    </row>
    <row r="115" spans="1:2" ht="12.75">
      <c r="A115" s="163">
        <v>18</v>
      </c>
      <c r="B115" s="210">
        <v>4.4609999999999997E-2</v>
      </c>
    </row>
    <row r="116" spans="1:2" ht="12.75">
      <c r="A116" s="163">
        <v>19</v>
      </c>
      <c r="B116" s="210">
        <v>4.462E-2</v>
      </c>
    </row>
    <row r="117" spans="1:2" ht="12.75">
      <c r="A117" s="163">
        <v>20</v>
      </c>
      <c r="B117" s="210">
        <v>4.4609999999999997E-2</v>
      </c>
    </row>
    <row r="118" spans="1:2" ht="12.75">
      <c r="A118" s="163">
        <v>21</v>
      </c>
      <c r="B118" s="210">
        <v>2.2499999999999999E-2</v>
      </c>
    </row>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75" right="0.75" top="0.4" bottom="0.48" header="0.41" footer="0.25"/>
  <pageSetup scale="46" orientation="landscape" r:id="rId3"/>
  <headerFooter alignWithMargins="0">
    <oddFooter>&amp;L&amp;D   &amp;T&amp;R&amp;F
&amp;A &amp;P</oddFooter>
  </headerFooter>
  <colBreaks count="2" manualBreakCount="2">
    <brk id="23" max="47"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B313"/>
  <sheetViews>
    <sheetView workbookViewId="0">
      <selection activeCell="D7" sqref="D7"/>
    </sheetView>
  </sheetViews>
  <sheetFormatPr defaultColWidth="10.5703125" defaultRowHeight="11.25"/>
  <cols>
    <col min="1" max="2" width="10.5703125" style="48"/>
    <col min="3" max="3" width="18.28515625" style="48" bestFit="1" customWidth="1"/>
    <col min="4" max="4" width="13.85546875" style="48" customWidth="1"/>
    <col min="5" max="5" width="17" style="48" customWidth="1"/>
    <col min="6" max="6" width="18.28515625" style="48" customWidth="1"/>
    <col min="7" max="7" width="4.5703125" style="48" customWidth="1"/>
    <col min="8" max="8" width="7.28515625" style="48" bestFit="1" customWidth="1"/>
    <col min="9" max="16384" width="10.5703125" style="48"/>
  </cols>
  <sheetData>
    <row r="1" spans="1:14" ht="20.25">
      <c r="A1" s="749" t="str">
        <f>'Project Assumptions'!$A$2</f>
        <v>CALEDONIA, Lowndes County, MS</v>
      </c>
      <c r="B1" s="750"/>
      <c r="C1" s="751"/>
      <c r="D1" s="752"/>
      <c r="E1" s="45"/>
      <c r="F1" s="45"/>
      <c r="G1" s="46"/>
      <c r="H1" s="45"/>
      <c r="I1" s="47"/>
      <c r="J1" s="47"/>
      <c r="K1" s="47"/>
      <c r="L1" s="47"/>
      <c r="M1" s="47"/>
      <c r="N1" s="47"/>
    </row>
    <row r="2" spans="1:14" ht="12.75">
      <c r="A2" s="753" t="s">
        <v>47</v>
      </c>
      <c r="B2" s="754"/>
      <c r="C2" s="755"/>
      <c r="D2" s="756"/>
      <c r="E2" s="45"/>
      <c r="F2" s="45"/>
      <c r="G2" s="46"/>
      <c r="H2" s="45"/>
      <c r="I2" s="47"/>
      <c r="J2" s="47"/>
      <c r="K2" s="47"/>
      <c r="L2" s="47"/>
      <c r="M2" s="47"/>
      <c r="N2" s="47"/>
    </row>
    <row r="3" spans="1:14" ht="12.75">
      <c r="A3" s="13"/>
      <c r="B3" s="13"/>
      <c r="C3" s="49"/>
      <c r="D3" s="45"/>
      <c r="E3" s="45"/>
      <c r="F3" s="45"/>
      <c r="G3" s="46"/>
      <c r="H3" s="45"/>
      <c r="I3" s="47"/>
      <c r="J3" s="47"/>
      <c r="K3" s="47"/>
      <c r="L3" s="47"/>
      <c r="M3" s="47"/>
      <c r="N3" s="47"/>
    </row>
    <row r="4" spans="1:14" ht="11.45" customHeight="1">
      <c r="A4" s="50" t="s">
        <v>70</v>
      </c>
      <c r="B4" s="50"/>
      <c r="C4" s="45"/>
      <c r="D4" s="45"/>
      <c r="E4" s="45"/>
      <c r="F4" s="45"/>
      <c r="G4" s="46"/>
      <c r="H4" s="45"/>
      <c r="I4" s="47"/>
      <c r="J4" s="47"/>
      <c r="K4" s="47"/>
      <c r="L4" s="47"/>
      <c r="M4" s="47"/>
      <c r="N4" s="47"/>
    </row>
    <row r="5" spans="1:14" ht="11.45" customHeight="1">
      <c r="D5" s="51"/>
      <c r="E5" s="51"/>
      <c r="F5" s="51"/>
      <c r="G5" s="46"/>
      <c r="H5" s="52"/>
      <c r="I5" s="47"/>
      <c r="J5" s="47"/>
      <c r="K5" s="47"/>
      <c r="L5" s="47"/>
      <c r="M5" s="47"/>
      <c r="N5" s="47"/>
    </row>
    <row r="6" spans="1:14" ht="11.45" customHeight="1">
      <c r="A6" s="53" t="s">
        <v>56</v>
      </c>
      <c r="B6" s="615"/>
      <c r="C6" s="54"/>
      <c r="D6" s="622">
        <v>143962</v>
      </c>
      <c r="E6" s="621" t="str">
        <f>IF(ABS(D6-C59)&gt;1,"Check Total Drawdown!","")</f>
        <v/>
      </c>
      <c r="F6" s="45"/>
      <c r="H6" s="52"/>
      <c r="I6" s="47"/>
      <c r="J6" s="47"/>
      <c r="K6" s="47"/>
      <c r="L6" s="47"/>
      <c r="M6" s="47"/>
      <c r="N6" s="47"/>
    </row>
    <row r="7" spans="1:14" ht="11.45" customHeight="1">
      <c r="A7" s="55" t="s">
        <v>517</v>
      </c>
      <c r="B7" s="70"/>
      <c r="C7" s="56"/>
      <c r="D7" s="623">
        <v>150000</v>
      </c>
      <c r="E7" s="621"/>
      <c r="F7" s="45"/>
      <c r="H7" s="52"/>
      <c r="I7" s="47"/>
      <c r="J7" s="47"/>
      <c r="K7" s="47"/>
      <c r="L7" s="47"/>
      <c r="M7" s="47"/>
      <c r="N7" s="47"/>
    </row>
    <row r="8" spans="1:14" ht="11.45" customHeight="1">
      <c r="A8" s="55" t="s">
        <v>48</v>
      </c>
      <c r="B8" s="70"/>
      <c r="C8" s="56"/>
      <c r="D8" s="57">
        <f>'Project Assumptions'!B45</f>
        <v>6.5000000000000002E-2</v>
      </c>
      <c r="E8" s="154"/>
      <c r="H8" s="58"/>
      <c r="I8" s="47"/>
      <c r="J8" s="47"/>
      <c r="K8" s="47"/>
      <c r="L8" s="47"/>
      <c r="M8" s="47"/>
      <c r="N8" s="47"/>
    </row>
    <row r="9" spans="1:14" ht="11.45" customHeight="1">
      <c r="A9" s="55" t="s">
        <v>49</v>
      </c>
      <c r="B9" s="70"/>
      <c r="C9" s="56"/>
      <c r="D9" s="149">
        <v>9</v>
      </c>
      <c r="E9" s="155"/>
      <c r="H9" s="58"/>
      <c r="I9" s="47"/>
      <c r="J9" s="47"/>
      <c r="K9" s="47"/>
      <c r="L9" s="47"/>
      <c r="M9" s="47"/>
      <c r="N9" s="47"/>
    </row>
    <row r="10" spans="1:14">
      <c r="A10" s="55" t="s">
        <v>50</v>
      </c>
      <c r="B10" s="70"/>
      <c r="C10" s="56"/>
      <c r="D10" s="57">
        <f>D8/12</f>
        <v>5.4166666666666669E-3</v>
      </c>
      <c r="E10" s="154"/>
      <c r="H10" s="58"/>
      <c r="I10" s="47"/>
      <c r="J10" s="47"/>
      <c r="K10" s="47"/>
      <c r="L10" s="47"/>
      <c r="M10" s="47"/>
      <c r="N10" s="47"/>
    </row>
    <row r="11" spans="1:14" ht="11.45" customHeight="1">
      <c r="A11" s="60"/>
      <c r="B11" s="56"/>
      <c r="C11" s="56"/>
      <c r="D11" s="61"/>
      <c r="E11" s="56"/>
      <c r="H11" s="58"/>
      <c r="I11" s="47"/>
      <c r="J11" s="47"/>
      <c r="K11" s="47"/>
      <c r="L11" s="47"/>
      <c r="M11" s="47"/>
      <c r="N11" s="47"/>
    </row>
    <row r="12" spans="1:14" ht="11.45" customHeight="1">
      <c r="A12" s="55" t="s">
        <v>51</v>
      </c>
      <c r="B12" s="70"/>
      <c r="C12" s="56"/>
      <c r="D12" s="148">
        <v>3.5000000000000001E-3</v>
      </c>
      <c r="E12" s="156"/>
      <c r="H12" s="62"/>
      <c r="I12" s="47"/>
      <c r="J12" s="47"/>
      <c r="K12" s="47"/>
      <c r="L12" s="47"/>
      <c r="M12" s="47"/>
      <c r="N12" s="47"/>
    </row>
    <row r="13" spans="1:14" ht="11.45" customHeight="1">
      <c r="A13" s="60"/>
      <c r="B13" s="56"/>
      <c r="C13" s="56"/>
      <c r="D13" s="61"/>
      <c r="E13" s="56"/>
      <c r="I13" s="47"/>
      <c r="J13" s="47"/>
      <c r="K13" s="47"/>
      <c r="L13" s="47"/>
      <c r="M13" s="47"/>
      <c r="N13" s="47"/>
    </row>
    <row r="14" spans="1:14" ht="11.45" customHeight="1">
      <c r="A14" s="55" t="s">
        <v>52</v>
      </c>
      <c r="B14" s="70"/>
      <c r="C14" s="56"/>
      <c r="D14" s="63">
        <v>1</v>
      </c>
      <c r="E14" s="157"/>
      <c r="G14" s="78"/>
      <c r="I14" s="47"/>
      <c r="J14" s="47"/>
      <c r="K14" s="47"/>
      <c r="L14" s="47"/>
      <c r="M14" s="47"/>
      <c r="N14" s="47"/>
    </row>
    <row r="15" spans="1:14" ht="11.45" customHeight="1">
      <c r="A15" s="64" t="s">
        <v>53</v>
      </c>
      <c r="B15" s="616"/>
      <c r="C15" s="65"/>
      <c r="D15" s="66"/>
      <c r="E15" s="70"/>
      <c r="G15" s="161"/>
      <c r="H15" s="59"/>
      <c r="I15" s="47"/>
      <c r="J15" s="47"/>
      <c r="K15" s="47"/>
      <c r="L15" s="47"/>
      <c r="M15" s="47"/>
      <c r="N15" s="47"/>
    </row>
    <row r="16" spans="1:14" ht="11.45" customHeight="1">
      <c r="A16" s="67" t="s">
        <v>54</v>
      </c>
      <c r="B16" s="617"/>
      <c r="C16" s="68"/>
      <c r="D16" s="69">
        <f>VLOOKUP(D9,A22:F58,6)</f>
        <v>6588.5358516414808</v>
      </c>
      <c r="E16" s="71"/>
      <c r="H16" s="59"/>
      <c r="I16" s="47"/>
      <c r="J16" s="47"/>
      <c r="K16" s="47"/>
      <c r="L16" s="47"/>
      <c r="M16" s="47"/>
      <c r="N16" s="47"/>
    </row>
    <row r="17" spans="1:28" ht="11.45" customHeight="1">
      <c r="A17" s="70"/>
      <c r="B17" s="70"/>
      <c r="C17" s="56"/>
      <c r="D17" s="71"/>
      <c r="E17" s="71"/>
      <c r="G17" s="79"/>
      <c r="H17" s="79"/>
      <c r="I17" s="79"/>
      <c r="J17" s="79"/>
      <c r="K17" s="79"/>
      <c r="L17" s="79"/>
      <c r="M17" s="79"/>
      <c r="N17" s="79"/>
      <c r="O17" s="79"/>
      <c r="P17" s="79"/>
      <c r="Q17" s="79"/>
      <c r="R17" s="79"/>
      <c r="S17" s="79"/>
      <c r="T17" s="79"/>
      <c r="U17" s="79"/>
      <c r="V17" s="79"/>
      <c r="W17" s="79"/>
      <c r="X17" s="79"/>
      <c r="Y17" s="79"/>
      <c r="Z17" s="79"/>
      <c r="AA17" s="79"/>
      <c r="AB17" s="79"/>
    </row>
    <row r="18" spans="1:28" ht="11.45" customHeight="1">
      <c r="A18" s="70"/>
      <c r="B18" s="70"/>
      <c r="C18" s="56"/>
      <c r="D18" s="71"/>
      <c r="E18" s="71"/>
      <c r="H18" s="59"/>
      <c r="I18" s="47"/>
      <c r="J18" s="47"/>
      <c r="K18" s="47"/>
      <c r="L18" s="47"/>
      <c r="M18" s="47"/>
      <c r="N18" s="47"/>
    </row>
    <row r="19" spans="1:28" ht="21" customHeight="1">
      <c r="A19" s="91" t="s">
        <v>55</v>
      </c>
      <c r="B19" s="158" t="s">
        <v>516</v>
      </c>
      <c r="C19" s="91" t="s">
        <v>8</v>
      </c>
      <c r="D19" s="158" t="s">
        <v>424</v>
      </c>
      <c r="E19" s="91" t="s">
        <v>68</v>
      </c>
      <c r="F19" s="92" t="s">
        <v>69</v>
      </c>
      <c r="G19" s="59"/>
      <c r="H19" s="70"/>
      <c r="I19" s="47"/>
      <c r="J19" s="47"/>
      <c r="K19" s="47"/>
      <c r="L19" s="47"/>
      <c r="M19" s="47"/>
    </row>
    <row r="20" spans="1:28" ht="21" customHeight="1">
      <c r="A20" s="84"/>
      <c r="B20" s="84"/>
      <c r="C20" s="84"/>
      <c r="D20" s="84"/>
      <c r="E20" s="87"/>
      <c r="F20" s="80"/>
      <c r="G20" s="59"/>
      <c r="H20" s="56"/>
      <c r="I20" s="47"/>
      <c r="J20" s="47"/>
      <c r="K20" s="47"/>
      <c r="L20" s="47"/>
      <c r="M20" s="47"/>
    </row>
    <row r="21" spans="1:28">
      <c r="A21" s="84"/>
      <c r="B21" s="84"/>
      <c r="C21" s="84"/>
      <c r="D21" s="84"/>
      <c r="E21" s="87"/>
      <c r="F21" s="80"/>
      <c r="H21" s="56"/>
    </row>
    <row r="22" spans="1:28" ht="11.45" customHeight="1">
      <c r="A22" s="85">
        <v>0</v>
      </c>
      <c r="B22" s="85"/>
      <c r="C22" s="159">
        <v>0</v>
      </c>
      <c r="D22" s="88"/>
      <c r="E22" s="88">
        <v>0</v>
      </c>
      <c r="F22" s="81">
        <v>0</v>
      </c>
      <c r="H22" s="71"/>
    </row>
    <row r="23" spans="1:28" ht="11.45" customHeight="1">
      <c r="A23" s="85">
        <v>1</v>
      </c>
      <c r="B23" s="618">
        <f>C23/$D$6</f>
        <v>0.28780596963087479</v>
      </c>
      <c r="C23" s="160">
        <v>41433.123</v>
      </c>
      <c r="D23" s="89">
        <f>C23+D22+E22</f>
        <v>41433.123</v>
      </c>
      <c r="E23" s="160">
        <v>2084.6579999999999</v>
      </c>
      <c r="F23" s="82">
        <f>E23</f>
        <v>2084.6579999999999</v>
      </c>
    </row>
    <row r="24" spans="1:28" ht="11.45" customHeight="1">
      <c r="A24" s="85">
        <f t="shared" ref="A24:A58" si="0">A23+1</f>
        <v>2</v>
      </c>
      <c r="B24" s="618">
        <f t="shared" ref="B24:B57" si="1">C24/$D$6</f>
        <v>8.3789888998485704E-2</v>
      </c>
      <c r="C24" s="160">
        <v>12062.56</v>
      </c>
      <c r="D24" s="89">
        <f t="shared" ref="D24:D57" si="2">C24+D23+E23</f>
        <v>55580.341</v>
      </c>
      <c r="E24" s="160">
        <v>342.82400000000001</v>
      </c>
      <c r="F24" s="82">
        <f t="shared" ref="F24:F58" si="3">IF(A24&lt;=$D$9,E24+F23,F23)</f>
        <v>2427.482</v>
      </c>
    </row>
    <row r="25" spans="1:28" ht="11.45" customHeight="1">
      <c r="A25" s="85">
        <f t="shared" si="0"/>
        <v>3</v>
      </c>
      <c r="B25" s="618">
        <f t="shared" si="1"/>
        <v>5.4956620497075614E-2</v>
      </c>
      <c r="C25" s="160">
        <v>7911.665</v>
      </c>
      <c r="D25" s="89">
        <f t="shared" si="2"/>
        <v>63834.83</v>
      </c>
      <c r="E25" s="89">
        <f>IF(A25&gt;$D$9,0,(C25/2+D24)*$D$10+($D$7-SUM($C$23:C25))*$D$12/12)</f>
        <v>348.32712995833333</v>
      </c>
      <c r="F25" s="82">
        <f t="shared" si="3"/>
        <v>2775.8091299583334</v>
      </c>
      <c r="H25" s="59"/>
    </row>
    <row r="26" spans="1:28" ht="11.45" customHeight="1">
      <c r="A26" s="85">
        <f t="shared" si="0"/>
        <v>4</v>
      </c>
      <c r="B26" s="618">
        <f t="shared" si="1"/>
        <v>0.10276952945916283</v>
      </c>
      <c r="C26" s="160">
        <v>14794.906999999999</v>
      </c>
      <c r="D26" s="89">
        <f t="shared" si="2"/>
        <v>78978.064129958322</v>
      </c>
      <c r="E26" s="89">
        <f>IF(A26&gt;$D$9,0,(C26/2+D25)*$D$10+($D$7-SUM($C$23:C26))*$D$12/12)</f>
        <v>407.3658779166667</v>
      </c>
      <c r="F26" s="82">
        <f t="shared" si="3"/>
        <v>3183.1750078750001</v>
      </c>
      <c r="H26" s="59"/>
    </row>
    <row r="27" spans="1:28" ht="11.45" customHeight="1">
      <c r="A27" s="85">
        <f t="shared" si="0"/>
        <v>5</v>
      </c>
      <c r="B27" s="618">
        <f t="shared" si="1"/>
        <v>0.11147933482446758</v>
      </c>
      <c r="C27" s="160">
        <v>16048.788</v>
      </c>
      <c r="D27" s="89">
        <f t="shared" si="2"/>
        <v>95434.218007874995</v>
      </c>
      <c r="E27" s="89">
        <f>IF(A27&gt;$D$9,0,(C27/2+D26)*$D$10+($D$7-SUM($C$23:C27))*$D$12/12)</f>
        <v>488.10676066227427</v>
      </c>
      <c r="F27" s="82">
        <f t="shared" si="3"/>
        <v>3671.2817685372743</v>
      </c>
      <c r="H27" s="59"/>
    </row>
    <row r="28" spans="1:28" ht="11.45" customHeight="1">
      <c r="A28" s="85">
        <f t="shared" si="0"/>
        <v>6</v>
      </c>
      <c r="B28" s="618">
        <f t="shared" si="1"/>
        <v>0.21664316972534417</v>
      </c>
      <c r="C28" s="160">
        <v>31188.383999999998</v>
      </c>
      <c r="D28" s="89">
        <f t="shared" si="2"/>
        <v>127110.70876853725</v>
      </c>
      <c r="E28" s="89">
        <f>IF(A28&gt;$D$9,0,(C28/2+D27)*$D$10+($D$7-SUM($C$23:C28))*$D$12/12)</f>
        <v>609.15072133432284</v>
      </c>
      <c r="F28" s="82">
        <f t="shared" si="3"/>
        <v>4280.4324898715968</v>
      </c>
      <c r="H28" s="59"/>
    </row>
    <row r="29" spans="1:28" ht="11.45" customHeight="1">
      <c r="A29" s="85">
        <f t="shared" si="0"/>
        <v>7</v>
      </c>
      <c r="B29" s="618">
        <f t="shared" si="1"/>
        <v>6.995998944165821E-2</v>
      </c>
      <c r="C29" s="160">
        <v>10071.58</v>
      </c>
      <c r="D29" s="89">
        <f t="shared" si="2"/>
        <v>137791.43948987158</v>
      </c>
      <c r="E29" s="89">
        <f>IF(A29&gt;$D$9,0,(C29/2+D28)*$D$10+($D$7-SUM($C$23:C29))*$D$12/12)</f>
        <v>720.60282462124349</v>
      </c>
      <c r="F29" s="82">
        <f t="shared" si="3"/>
        <v>5001.0353144928404</v>
      </c>
    </row>
    <row r="30" spans="1:28" ht="11.45" customHeight="1">
      <c r="A30" s="85">
        <f t="shared" si="0"/>
        <v>8</v>
      </c>
      <c r="B30" s="618">
        <f t="shared" si="1"/>
        <v>7.5875779719648234E-2</v>
      </c>
      <c r="C30" s="160">
        <v>10923.228999999999</v>
      </c>
      <c r="D30" s="89">
        <f t="shared" si="2"/>
        <v>149435.27131449283</v>
      </c>
      <c r="E30" s="89">
        <f>IF(A30&gt;$D$9,0,(C30/2+D29)*$D$10+($D$7-SUM($C$23:C30))*$D$12/12)</f>
        <v>777.57739027847106</v>
      </c>
      <c r="F30" s="82">
        <f t="shared" si="3"/>
        <v>5778.6127047713117</v>
      </c>
    </row>
    <row r="31" spans="1:28" ht="11.45" customHeight="1">
      <c r="A31" s="85">
        <f>A30+1</f>
        <v>9</v>
      </c>
      <c r="B31" s="618">
        <f t="shared" si="1"/>
        <v>-3.2803309206596186E-3</v>
      </c>
      <c r="C31" s="160">
        <v>-472.24299999999999</v>
      </c>
      <c r="D31" s="89">
        <f>C31+D30+E30</f>
        <v>149740.6057047713</v>
      </c>
      <c r="E31" s="89">
        <f>IF(A31&gt;$D$9,0,(C31/2+D30)*$D$10+($D$7-SUM($C$23:C31))*$D$12/12)</f>
        <v>809.92314687016949</v>
      </c>
      <c r="F31" s="82">
        <f>IF(A31&lt;=$D$9,E31+F30,F30)</f>
        <v>6588.5358516414808</v>
      </c>
    </row>
    <row r="32" spans="1:28" ht="11.45" customHeight="1">
      <c r="A32" s="85">
        <f t="shared" si="0"/>
        <v>10</v>
      </c>
      <c r="B32" s="618">
        <f t="shared" si="1"/>
        <v>0</v>
      </c>
      <c r="C32" s="160">
        <v>0</v>
      </c>
      <c r="D32" s="89">
        <f t="shared" si="2"/>
        <v>150550.52885164146</v>
      </c>
      <c r="E32" s="89">
        <f>IF(A32&gt;$D$9,0,(C32/2+D31)*$D$10+($D$7-SUM($C$23:C32))*$D$12/12)</f>
        <v>0</v>
      </c>
      <c r="F32" s="82">
        <f t="shared" si="3"/>
        <v>6588.5358516414808</v>
      </c>
    </row>
    <row r="33" spans="1:13" ht="11.45" customHeight="1">
      <c r="A33" s="85">
        <f t="shared" si="0"/>
        <v>11</v>
      </c>
      <c r="B33" s="618">
        <f t="shared" si="1"/>
        <v>0</v>
      </c>
      <c r="C33" s="160">
        <v>0</v>
      </c>
      <c r="D33" s="89">
        <f t="shared" si="2"/>
        <v>150550.52885164146</v>
      </c>
      <c r="E33" s="89">
        <f>IF(A33&gt;$D$9,0,(C33/2+D32)*$D$10+($D$7-SUM($C$23:C33))*$D$12/12)</f>
        <v>0</v>
      </c>
      <c r="F33" s="82">
        <f t="shared" si="3"/>
        <v>6588.5358516414808</v>
      </c>
    </row>
    <row r="34" spans="1:13" ht="11.45" customHeight="1">
      <c r="A34" s="85">
        <f t="shared" si="0"/>
        <v>12</v>
      </c>
      <c r="B34" s="618">
        <f t="shared" si="1"/>
        <v>0</v>
      </c>
      <c r="C34" s="160">
        <v>0</v>
      </c>
      <c r="D34" s="89">
        <f t="shared" si="2"/>
        <v>150550.52885164146</v>
      </c>
      <c r="E34" s="89">
        <f>IF(A34&gt;$D$9,0,(C34/2+D33)*$D$10+($D$7-SUM($C$23:C34))*$D$12/12)</f>
        <v>0</v>
      </c>
      <c r="F34" s="82">
        <f t="shared" si="3"/>
        <v>6588.5358516414808</v>
      </c>
    </row>
    <row r="35" spans="1:13" ht="11.45" customHeight="1">
      <c r="A35" s="85">
        <f t="shared" si="0"/>
        <v>13</v>
      </c>
      <c r="B35" s="618">
        <f t="shared" si="1"/>
        <v>0</v>
      </c>
      <c r="C35" s="160">
        <v>0</v>
      </c>
      <c r="D35" s="89">
        <f t="shared" si="2"/>
        <v>150550.52885164146</v>
      </c>
      <c r="E35" s="89">
        <f>IF(A35&gt;$D$9,0,(C35/2+D34)*$D$10+($D$7-SUM($C$23:C35))*$D$12/12)</f>
        <v>0</v>
      </c>
      <c r="F35" s="82">
        <f t="shared" si="3"/>
        <v>6588.5358516414808</v>
      </c>
    </row>
    <row r="36" spans="1:13" ht="11.45" customHeight="1">
      <c r="A36" s="85">
        <f t="shared" si="0"/>
        <v>14</v>
      </c>
      <c r="B36" s="618">
        <f t="shared" si="1"/>
        <v>0</v>
      </c>
      <c r="C36" s="160">
        <v>0</v>
      </c>
      <c r="D36" s="89">
        <f t="shared" si="2"/>
        <v>150550.52885164146</v>
      </c>
      <c r="E36" s="89">
        <f>IF(A36&gt;$D$9,0,(C36/2+D35)*$D$10+($D$7-SUM($C$23:C36))*$D$12/12)</f>
        <v>0</v>
      </c>
      <c r="F36" s="82">
        <f t="shared" si="3"/>
        <v>6588.5358516414808</v>
      </c>
    </row>
    <row r="37" spans="1:13" ht="11.45" customHeight="1">
      <c r="A37" s="85">
        <f t="shared" si="0"/>
        <v>15</v>
      </c>
      <c r="B37" s="618">
        <f t="shared" si="1"/>
        <v>0</v>
      </c>
      <c r="C37" s="160">
        <v>0</v>
      </c>
      <c r="D37" s="89">
        <f t="shared" si="2"/>
        <v>150550.52885164146</v>
      </c>
      <c r="E37" s="89">
        <f>IF(A37&gt;$D$9,0,(C37/2+D36)*$D$10+($D$7-SUM($C$23:C37))*$D$12/12)</f>
        <v>0</v>
      </c>
      <c r="F37" s="82">
        <f t="shared" si="3"/>
        <v>6588.5358516414808</v>
      </c>
      <c r="H37" s="47"/>
    </row>
    <row r="38" spans="1:13" ht="11.45" customHeight="1">
      <c r="A38" s="85">
        <f t="shared" si="0"/>
        <v>16</v>
      </c>
      <c r="B38" s="618">
        <f t="shared" si="1"/>
        <v>0</v>
      </c>
      <c r="C38" s="160">
        <v>0</v>
      </c>
      <c r="D38" s="89">
        <f t="shared" si="2"/>
        <v>150550.52885164146</v>
      </c>
      <c r="E38" s="89">
        <f>IF(A38&gt;$D$9,0,(C38/2+D37)*$D$10+($D$7-SUM($C$23:C38))*$D$12/12)</f>
        <v>0</v>
      </c>
      <c r="F38" s="82">
        <f t="shared" si="3"/>
        <v>6588.5358516414808</v>
      </c>
      <c r="H38" s="47"/>
    </row>
    <row r="39" spans="1:13" ht="11.45" customHeight="1">
      <c r="A39" s="85">
        <f t="shared" si="0"/>
        <v>17</v>
      </c>
      <c r="B39" s="618">
        <f t="shared" si="1"/>
        <v>0</v>
      </c>
      <c r="C39" s="160">
        <v>0</v>
      </c>
      <c r="D39" s="89">
        <f t="shared" si="2"/>
        <v>150550.52885164146</v>
      </c>
      <c r="E39" s="89">
        <f>IF(A39&gt;$D$9,0,(C39/2+D38)*$D$10+($D$7-SUM($C$23:C39))*$D$12/12)</f>
        <v>0</v>
      </c>
      <c r="F39" s="82">
        <f t="shared" si="3"/>
        <v>6588.5358516414808</v>
      </c>
      <c r="H39" s="47"/>
    </row>
    <row r="40" spans="1:13" ht="11.45" customHeight="1">
      <c r="A40" s="85">
        <f t="shared" si="0"/>
        <v>18</v>
      </c>
      <c r="B40" s="618">
        <f t="shared" si="1"/>
        <v>0</v>
      </c>
      <c r="C40" s="160">
        <v>0</v>
      </c>
      <c r="D40" s="89">
        <f t="shared" si="2"/>
        <v>150550.52885164146</v>
      </c>
      <c r="E40" s="89">
        <f>IF(A40&gt;$D$9,0,(C40/2+D39)*$D$10+($D$7-SUM($C$23:C40))*$D$12/12)</f>
        <v>0</v>
      </c>
      <c r="F40" s="82">
        <f t="shared" si="3"/>
        <v>6588.5358516414808</v>
      </c>
      <c r="H40" s="47"/>
    </row>
    <row r="41" spans="1:13" ht="11.45" customHeight="1">
      <c r="A41" s="85">
        <f t="shared" si="0"/>
        <v>19</v>
      </c>
      <c r="B41" s="618">
        <f t="shared" si="1"/>
        <v>0</v>
      </c>
      <c r="C41" s="160">
        <v>0</v>
      </c>
      <c r="D41" s="89">
        <f t="shared" si="2"/>
        <v>150550.52885164146</v>
      </c>
      <c r="E41" s="89">
        <f>IF(A41&gt;$D$9,0,(C41/2+D40)*$D$10+($D$7-SUM($C$23:C41))*$D$12/12)</f>
        <v>0</v>
      </c>
      <c r="F41" s="82">
        <f t="shared" si="3"/>
        <v>6588.5358516414808</v>
      </c>
      <c r="H41" s="47"/>
    </row>
    <row r="42" spans="1:13" ht="11.45" customHeight="1">
      <c r="A42" s="85">
        <f t="shared" si="0"/>
        <v>20</v>
      </c>
      <c r="B42" s="618">
        <f t="shared" si="1"/>
        <v>0</v>
      </c>
      <c r="C42" s="160">
        <v>0</v>
      </c>
      <c r="D42" s="89">
        <f t="shared" si="2"/>
        <v>150550.52885164146</v>
      </c>
      <c r="E42" s="89">
        <f>IF(A42&gt;$D$9,0,(C42/2+D41)*$D$10+($D$7-SUM($C$23:C42))*$D$12/12)</f>
        <v>0</v>
      </c>
      <c r="F42" s="82">
        <f t="shared" si="3"/>
        <v>6588.5358516414808</v>
      </c>
      <c r="H42" s="47"/>
    </row>
    <row r="43" spans="1:13" ht="11.45" customHeight="1">
      <c r="A43" s="85">
        <f t="shared" si="0"/>
        <v>21</v>
      </c>
      <c r="B43" s="618">
        <f t="shared" si="1"/>
        <v>0</v>
      </c>
      <c r="C43" s="160">
        <v>0</v>
      </c>
      <c r="D43" s="89">
        <f t="shared" si="2"/>
        <v>150550.52885164146</v>
      </c>
      <c r="E43" s="89">
        <f>IF(A43&gt;$D$9,0,(C43/2+D42)*$D$10+($D$7-SUM($C$23:C43))*$D$12/12)</f>
        <v>0</v>
      </c>
      <c r="F43" s="82">
        <f t="shared" si="3"/>
        <v>6588.5358516414808</v>
      </c>
      <c r="H43" s="47"/>
    </row>
    <row r="44" spans="1:13" ht="11.45" customHeight="1">
      <c r="A44" s="85">
        <f t="shared" si="0"/>
        <v>22</v>
      </c>
      <c r="B44" s="618">
        <f t="shared" si="1"/>
        <v>0</v>
      </c>
      <c r="C44" s="160">
        <v>0</v>
      </c>
      <c r="D44" s="89">
        <f t="shared" si="2"/>
        <v>150550.52885164146</v>
      </c>
      <c r="E44" s="89">
        <f>IF(A44&gt;$D$9,0,(C44/2+D43)*$D$10+($D$7-SUM($C$23:C44))*$D$12/12)</f>
        <v>0</v>
      </c>
      <c r="F44" s="82">
        <f t="shared" si="3"/>
        <v>6588.5358516414808</v>
      </c>
      <c r="G44"/>
      <c r="H44" s="47"/>
      <c r="I44" s="47"/>
      <c r="J44" s="47"/>
      <c r="K44" s="47"/>
      <c r="L44" s="47"/>
      <c r="M44" s="47"/>
    </row>
    <row r="45" spans="1:13" ht="11.45" customHeight="1">
      <c r="A45" s="85">
        <f t="shared" si="0"/>
        <v>23</v>
      </c>
      <c r="B45" s="618">
        <f t="shared" si="1"/>
        <v>0</v>
      </c>
      <c r="C45" s="160">
        <v>0</v>
      </c>
      <c r="D45" s="89">
        <f t="shared" si="2"/>
        <v>150550.52885164146</v>
      </c>
      <c r="E45" s="89">
        <f>IF(A45&gt;$D$9,0,(C45/2+D44)*$D$10+($D$7-SUM($C$23:C45))*$D$12/12)</f>
        <v>0</v>
      </c>
      <c r="F45" s="82">
        <f t="shared" si="3"/>
        <v>6588.5358516414808</v>
      </c>
      <c r="G45"/>
      <c r="H45" s="47"/>
      <c r="I45" s="47"/>
      <c r="J45" s="47"/>
      <c r="K45" s="47"/>
      <c r="L45" s="47"/>
      <c r="M45" s="47"/>
    </row>
    <row r="46" spans="1:13" ht="11.45" customHeight="1">
      <c r="A46" s="85">
        <f t="shared" si="0"/>
        <v>24</v>
      </c>
      <c r="B46" s="618">
        <f t="shared" si="1"/>
        <v>0</v>
      </c>
      <c r="C46" s="160">
        <v>0</v>
      </c>
      <c r="D46" s="89">
        <f t="shared" si="2"/>
        <v>150550.52885164146</v>
      </c>
      <c r="E46" s="89">
        <f>IF(A46&gt;$D$9,0,(C46/2+D45)*$D$10+($D$7-SUM($C$23:C46))*$D$12/12)</f>
        <v>0</v>
      </c>
      <c r="F46" s="82">
        <f t="shared" si="3"/>
        <v>6588.5358516414808</v>
      </c>
      <c r="G46"/>
      <c r="I46" s="47"/>
      <c r="J46" s="47"/>
      <c r="K46" s="47"/>
      <c r="L46" s="47"/>
      <c r="M46" s="47"/>
    </row>
    <row r="47" spans="1:13" ht="11.45" customHeight="1">
      <c r="A47" s="85">
        <f t="shared" si="0"/>
        <v>25</v>
      </c>
      <c r="B47" s="618">
        <f t="shared" si="1"/>
        <v>0</v>
      </c>
      <c r="C47" s="160">
        <v>0</v>
      </c>
      <c r="D47" s="89">
        <f t="shared" si="2"/>
        <v>150550.52885164146</v>
      </c>
      <c r="E47" s="89">
        <f>IF(A47&gt;$D$9,0,(C47/2+D46)*$D$10+($D$7-SUM($C$23:C47))*$D$12/12)</f>
        <v>0</v>
      </c>
      <c r="F47" s="82">
        <f t="shared" si="3"/>
        <v>6588.5358516414808</v>
      </c>
      <c r="G47"/>
      <c r="I47" s="47"/>
      <c r="J47" s="47"/>
      <c r="K47" s="47"/>
      <c r="L47" s="47"/>
      <c r="M47" s="47"/>
    </row>
    <row r="48" spans="1:13" ht="11.45" customHeight="1">
      <c r="A48" s="85">
        <f t="shared" si="0"/>
        <v>26</v>
      </c>
      <c r="B48" s="618">
        <f t="shared" si="1"/>
        <v>0</v>
      </c>
      <c r="C48" s="160">
        <v>0</v>
      </c>
      <c r="D48" s="89">
        <f t="shared" si="2"/>
        <v>150550.52885164146</v>
      </c>
      <c r="E48" s="89">
        <f>IF(A48&gt;$D$9,0,(C48/2+D47)*$D$10+($D$7-SUM($C$23:C48))*$D$12/12)</f>
        <v>0</v>
      </c>
      <c r="F48" s="82">
        <f t="shared" si="3"/>
        <v>6588.5358516414808</v>
      </c>
      <c r="G48"/>
      <c r="I48" s="47"/>
      <c r="J48" s="47"/>
      <c r="K48" s="47"/>
      <c r="L48" s="47"/>
      <c r="M48" s="47"/>
    </row>
    <row r="49" spans="1:14" ht="11.45" customHeight="1">
      <c r="A49" s="85">
        <f t="shared" si="0"/>
        <v>27</v>
      </c>
      <c r="B49" s="618">
        <f t="shared" si="1"/>
        <v>0</v>
      </c>
      <c r="C49" s="160">
        <v>0</v>
      </c>
      <c r="D49" s="89">
        <f t="shared" si="2"/>
        <v>150550.52885164146</v>
      </c>
      <c r="E49" s="89">
        <f>IF(A49&gt;$D$9,0,(C49/2+D48)*$D$10+($D$7-SUM($C$23:C49))*$D$12/12)</f>
        <v>0</v>
      </c>
      <c r="F49" s="82">
        <f t="shared" si="3"/>
        <v>6588.5358516414808</v>
      </c>
      <c r="G49"/>
      <c r="I49" s="47"/>
      <c r="J49" s="47"/>
      <c r="K49" s="47"/>
      <c r="L49" s="47"/>
      <c r="M49" s="47"/>
    </row>
    <row r="50" spans="1:14" ht="11.45" customHeight="1">
      <c r="A50" s="85">
        <f t="shared" si="0"/>
        <v>28</v>
      </c>
      <c r="B50" s="618">
        <f t="shared" si="1"/>
        <v>0</v>
      </c>
      <c r="C50" s="160">
        <v>0</v>
      </c>
      <c r="D50" s="89">
        <f t="shared" si="2"/>
        <v>150550.52885164146</v>
      </c>
      <c r="E50" s="89">
        <f>IF(A50&gt;$D$9,0,(C50/2+D49)*$D$10+($D$7-SUM($C$23:C50))*$D$12/12)</f>
        <v>0</v>
      </c>
      <c r="F50" s="82">
        <f t="shared" si="3"/>
        <v>6588.5358516414808</v>
      </c>
      <c r="G50"/>
      <c r="I50" s="47"/>
      <c r="J50" s="47"/>
      <c r="K50" s="47"/>
      <c r="L50" s="47"/>
      <c r="M50" s="47"/>
    </row>
    <row r="51" spans="1:14" ht="11.45" customHeight="1">
      <c r="A51" s="85">
        <f t="shared" si="0"/>
        <v>29</v>
      </c>
      <c r="B51" s="618">
        <f t="shared" si="1"/>
        <v>0</v>
      </c>
      <c r="C51" s="160">
        <v>0</v>
      </c>
      <c r="D51" s="89">
        <f t="shared" si="2"/>
        <v>150550.52885164146</v>
      </c>
      <c r="E51" s="89">
        <f>IF(A51&gt;$D$9,0,(C51/2+D50)*$D$10+($D$7-SUM($C$23:C51))*$D$12/12)</f>
        <v>0</v>
      </c>
      <c r="F51" s="82">
        <f t="shared" si="3"/>
        <v>6588.5358516414808</v>
      </c>
      <c r="G51"/>
      <c r="I51" s="47"/>
      <c r="J51" s="47"/>
      <c r="K51" s="47"/>
      <c r="L51" s="47"/>
      <c r="M51" s="47"/>
    </row>
    <row r="52" spans="1:14" ht="11.45" customHeight="1">
      <c r="A52" s="85">
        <f t="shared" si="0"/>
        <v>30</v>
      </c>
      <c r="B52" s="618">
        <f t="shared" si="1"/>
        <v>0</v>
      </c>
      <c r="C52" s="160">
        <v>0</v>
      </c>
      <c r="D52" s="89">
        <f t="shared" si="2"/>
        <v>150550.52885164146</v>
      </c>
      <c r="E52" s="89">
        <f>IF(A52&gt;$D$9,0,(C52/2+D51)*$D$10+($D$7-SUM($C$23:C52))*$D$12/12)</f>
        <v>0</v>
      </c>
      <c r="F52" s="82">
        <f t="shared" si="3"/>
        <v>6588.5358516414808</v>
      </c>
      <c r="G52"/>
      <c r="I52" s="47"/>
      <c r="J52" s="47"/>
      <c r="K52" s="47"/>
      <c r="L52" s="47"/>
      <c r="M52" s="47"/>
    </row>
    <row r="53" spans="1:14" ht="11.45" customHeight="1">
      <c r="A53" s="85">
        <f t="shared" si="0"/>
        <v>31</v>
      </c>
      <c r="B53" s="618">
        <f t="shared" si="1"/>
        <v>0</v>
      </c>
      <c r="C53" s="160">
        <v>0</v>
      </c>
      <c r="D53" s="89">
        <f t="shared" si="2"/>
        <v>150550.52885164146</v>
      </c>
      <c r="E53" s="89">
        <f>IF(A53&gt;$D$9,0,(C53/2+D52)*$D$10+($D$7-SUM($C$23:C53))*$D$12/12)</f>
        <v>0</v>
      </c>
      <c r="F53" s="82">
        <f t="shared" si="3"/>
        <v>6588.5358516414808</v>
      </c>
      <c r="G53"/>
      <c r="I53" s="47"/>
      <c r="J53" s="47"/>
      <c r="K53" s="47"/>
      <c r="L53" s="47"/>
      <c r="M53" s="47"/>
    </row>
    <row r="54" spans="1:14" ht="11.45" customHeight="1">
      <c r="A54" s="85">
        <f t="shared" si="0"/>
        <v>32</v>
      </c>
      <c r="B54" s="618">
        <f t="shared" si="1"/>
        <v>0</v>
      </c>
      <c r="C54" s="160">
        <v>0</v>
      </c>
      <c r="D54" s="89">
        <f t="shared" si="2"/>
        <v>150550.52885164146</v>
      </c>
      <c r="E54" s="89">
        <f>IF(A54&gt;$D$9,0,(C54/2+D53)*$D$10+($D$7-SUM($C$23:C54))*$D$12/12)</f>
        <v>0</v>
      </c>
      <c r="F54" s="82">
        <f t="shared" si="3"/>
        <v>6588.5358516414808</v>
      </c>
      <c r="G54"/>
      <c r="I54" s="47"/>
      <c r="J54" s="47"/>
      <c r="K54" s="47"/>
      <c r="L54" s="47"/>
      <c r="M54" s="47"/>
    </row>
    <row r="55" spans="1:14" ht="11.45" customHeight="1">
      <c r="A55" s="85">
        <f t="shared" si="0"/>
        <v>33</v>
      </c>
      <c r="B55" s="618">
        <f t="shared" si="1"/>
        <v>0</v>
      </c>
      <c r="C55" s="160">
        <v>0</v>
      </c>
      <c r="D55" s="89">
        <f t="shared" si="2"/>
        <v>150550.52885164146</v>
      </c>
      <c r="E55" s="89">
        <f>IF(A55&gt;$D$9,0,(C55/2+D54)*$D$10+($D$7-SUM($C$23:C55))*$D$12/12)</f>
        <v>0</v>
      </c>
      <c r="F55" s="82">
        <f t="shared" si="3"/>
        <v>6588.5358516414808</v>
      </c>
      <c r="G55"/>
      <c r="I55" s="47"/>
      <c r="J55" s="47"/>
      <c r="K55" s="47"/>
      <c r="L55" s="47"/>
      <c r="M55" s="47"/>
    </row>
    <row r="56" spans="1:14" ht="11.45" customHeight="1">
      <c r="A56" s="85">
        <f t="shared" si="0"/>
        <v>34</v>
      </c>
      <c r="B56" s="618">
        <f t="shared" si="1"/>
        <v>0</v>
      </c>
      <c r="C56" s="160">
        <v>0</v>
      </c>
      <c r="D56" s="89">
        <f t="shared" si="2"/>
        <v>150550.52885164146</v>
      </c>
      <c r="E56" s="89">
        <f>IF(A56&gt;$D$9,0,(C56/2+D55)*$D$10+($D$7-SUM($C$23:C56))*$D$12/12)</f>
        <v>0</v>
      </c>
      <c r="F56" s="82">
        <f t="shared" si="3"/>
        <v>6588.5358516414808</v>
      </c>
      <c r="G56"/>
      <c r="I56" s="47"/>
      <c r="J56" s="47"/>
      <c r="K56" s="47"/>
      <c r="L56" s="47"/>
      <c r="M56" s="47"/>
    </row>
    <row r="57" spans="1:14" ht="11.45" customHeight="1">
      <c r="A57" s="85">
        <f t="shared" si="0"/>
        <v>35</v>
      </c>
      <c r="B57" s="618">
        <f t="shared" si="1"/>
        <v>0</v>
      </c>
      <c r="C57" s="160">
        <v>0</v>
      </c>
      <c r="D57" s="89">
        <f t="shared" si="2"/>
        <v>150550.52885164146</v>
      </c>
      <c r="E57" s="89">
        <f>IF(A57&gt;$D$9,0,(C57/2+D56)*$D$10+($D$7-SUM($C$23:C57))*$D$12/12)</f>
        <v>0</v>
      </c>
      <c r="F57" s="82">
        <f t="shared" si="3"/>
        <v>6588.5358516414808</v>
      </c>
      <c r="G57"/>
      <c r="I57" s="47"/>
      <c r="J57" s="47"/>
      <c r="K57" s="47"/>
      <c r="L57" s="47"/>
      <c r="M57" s="47"/>
    </row>
    <row r="58" spans="1:14" ht="11.45" customHeight="1">
      <c r="A58" s="86">
        <f t="shared" si="0"/>
        <v>36</v>
      </c>
      <c r="B58" s="86"/>
      <c r="C58" s="90">
        <v>0</v>
      </c>
      <c r="D58" s="90"/>
      <c r="E58" s="90">
        <f>IF(A58&gt;$D$9,0,(C58+D57)*$D$10+($D$6-SUM($C$23:C58))*$D$12/12)</f>
        <v>0</v>
      </c>
      <c r="F58" s="83">
        <f t="shared" si="3"/>
        <v>6588.5358516414808</v>
      </c>
      <c r="G58"/>
      <c r="I58" s="47"/>
      <c r="J58" s="47"/>
      <c r="K58" s="47"/>
      <c r="L58" s="47"/>
      <c r="M58" s="47"/>
    </row>
    <row r="59" spans="1:14" ht="12.75">
      <c r="A59"/>
      <c r="B59" s="619">
        <f>SUM(B23:B58)</f>
        <v>0.99999995137605768</v>
      </c>
      <c r="C59" s="620">
        <f>SUM(C22:C58)</f>
        <v>143961.99299999999</v>
      </c>
      <c r="D59"/>
      <c r="E59"/>
      <c r="F59"/>
      <c r="G59"/>
      <c r="H59"/>
      <c r="I59" s="47"/>
      <c r="J59" s="47"/>
      <c r="K59" s="47"/>
      <c r="L59" s="47"/>
      <c r="M59" s="47"/>
    </row>
    <row r="60" spans="1:14" ht="12.75">
      <c r="A60"/>
      <c r="B60"/>
      <c r="C60"/>
      <c r="D60"/>
      <c r="E60"/>
      <c r="F60"/>
      <c r="G60"/>
      <c r="I60" s="47"/>
      <c r="J60" s="47"/>
      <c r="K60" s="47"/>
      <c r="L60" s="47"/>
      <c r="M60" s="47"/>
      <c r="N60" s="47"/>
    </row>
    <row r="61" spans="1:14" ht="12.75">
      <c r="A61"/>
      <c r="B61"/>
      <c r="C61"/>
      <c r="D61"/>
      <c r="E61"/>
      <c r="F61"/>
      <c r="G61"/>
      <c r="I61" s="47"/>
      <c r="J61" s="47"/>
      <c r="K61" s="47"/>
      <c r="L61" s="47"/>
      <c r="M61" s="47"/>
      <c r="N61" s="47"/>
    </row>
    <row r="62" spans="1:14" ht="12.75">
      <c r="A62"/>
      <c r="B62"/>
      <c r="C62"/>
      <c r="D62"/>
      <c r="E62"/>
      <c r="F62"/>
      <c r="G62"/>
      <c r="I62" s="47"/>
      <c r="J62" s="47"/>
      <c r="K62" s="47"/>
      <c r="L62" s="47"/>
      <c r="M62" s="47"/>
      <c r="N62" s="47"/>
    </row>
    <row r="63" spans="1:14" ht="12.75">
      <c r="A63"/>
      <c r="B63"/>
      <c r="C63"/>
      <c r="D63"/>
      <c r="E63"/>
      <c r="F63"/>
      <c r="G63"/>
      <c r="I63" s="47"/>
      <c r="J63" s="47"/>
      <c r="K63" s="47"/>
      <c r="L63" s="47"/>
      <c r="M63" s="47"/>
      <c r="N63" s="47"/>
    </row>
    <row r="64" spans="1:14" ht="12.75">
      <c r="A64"/>
      <c r="B64"/>
      <c r="C64"/>
      <c r="D64"/>
      <c r="E64"/>
      <c r="F64"/>
      <c r="G64"/>
      <c r="I64" s="47"/>
      <c r="J64" s="47"/>
      <c r="K64" s="47"/>
      <c r="L64" s="47"/>
      <c r="M64" s="47"/>
      <c r="N64" s="47"/>
    </row>
    <row r="65" spans="1:27">
      <c r="C65" s="47"/>
      <c r="D65" s="47"/>
      <c r="E65" s="47"/>
      <c r="F65" s="47"/>
      <c r="G65" s="47"/>
      <c r="H65" s="47"/>
      <c r="I65" s="47"/>
      <c r="J65" s="47"/>
      <c r="K65" s="47"/>
      <c r="L65" s="47"/>
      <c r="M65" s="47"/>
      <c r="N65" s="47"/>
    </row>
    <row r="66" spans="1:27">
      <c r="C66" s="47"/>
      <c r="D66" s="47"/>
      <c r="E66" s="47"/>
      <c r="F66" s="47"/>
      <c r="G66" s="47"/>
      <c r="H66" s="47"/>
      <c r="I66" s="47"/>
      <c r="J66" s="47"/>
      <c r="K66" s="47"/>
      <c r="L66" s="47"/>
      <c r="M66" s="47"/>
      <c r="N66" s="47"/>
    </row>
    <row r="67" spans="1:27">
      <c r="C67" s="47"/>
      <c r="D67" s="47"/>
      <c r="E67" s="47"/>
      <c r="F67" s="47"/>
      <c r="G67" s="47"/>
      <c r="H67" s="47"/>
      <c r="I67" s="47"/>
      <c r="J67" s="47"/>
      <c r="K67" s="47"/>
      <c r="L67" s="47"/>
      <c r="M67" s="47"/>
      <c r="N67" s="47"/>
    </row>
    <row r="68" spans="1:27">
      <c r="A68" s="70"/>
      <c r="B68" s="70"/>
      <c r="C68" s="70"/>
      <c r="D68" s="73"/>
      <c r="E68" s="73"/>
      <c r="F68" s="73"/>
      <c r="G68" s="73"/>
      <c r="H68" s="73"/>
      <c r="I68" s="73"/>
      <c r="J68" s="73"/>
      <c r="K68" s="73"/>
      <c r="L68" s="73"/>
      <c r="M68" s="73"/>
      <c r="N68" s="73"/>
      <c r="O68" s="73"/>
      <c r="P68" s="73"/>
      <c r="Q68" s="73"/>
      <c r="R68" s="73"/>
      <c r="S68" s="73"/>
      <c r="T68" s="73"/>
      <c r="U68" s="73"/>
      <c r="V68" s="73"/>
      <c r="W68" s="73"/>
      <c r="X68" s="73"/>
      <c r="Y68" s="73"/>
      <c r="Z68" s="73"/>
      <c r="AA68" s="73"/>
    </row>
    <row r="69" spans="1:27">
      <c r="A69" s="70"/>
      <c r="B69" s="70"/>
      <c r="C69" s="70"/>
      <c r="D69" s="74"/>
      <c r="E69" s="74"/>
      <c r="F69" s="74"/>
      <c r="G69" s="74"/>
      <c r="H69" s="74"/>
      <c r="I69" s="74"/>
      <c r="J69" s="74"/>
      <c r="K69" s="74"/>
      <c r="L69" s="74"/>
      <c r="M69" s="74"/>
      <c r="N69" s="74"/>
      <c r="O69" s="74"/>
      <c r="P69" s="74"/>
      <c r="Q69" s="74"/>
      <c r="R69" s="74"/>
      <c r="S69" s="74"/>
      <c r="T69" s="74"/>
      <c r="U69" s="74"/>
      <c r="V69" s="74"/>
      <c r="W69" s="74"/>
      <c r="X69" s="74"/>
      <c r="Y69" s="74"/>
      <c r="Z69" s="74"/>
      <c r="AA69" s="74"/>
    </row>
    <row r="70" spans="1:27">
      <c r="G70" s="47"/>
      <c r="H70" s="47"/>
      <c r="I70" s="47"/>
      <c r="J70" s="47"/>
      <c r="K70" s="47"/>
      <c r="L70" s="47"/>
      <c r="M70" s="47"/>
      <c r="N70" s="47"/>
    </row>
    <row r="71" spans="1:27">
      <c r="G71" s="47"/>
      <c r="H71" s="47"/>
      <c r="I71" s="47"/>
      <c r="J71" s="47"/>
      <c r="K71" s="47"/>
      <c r="L71" s="47"/>
      <c r="M71" s="47"/>
      <c r="N71" s="47"/>
    </row>
    <row r="72" spans="1:27">
      <c r="H72" s="47"/>
      <c r="I72" s="47"/>
      <c r="J72" s="47"/>
      <c r="K72" s="47"/>
      <c r="L72" s="47"/>
      <c r="M72" s="47"/>
      <c r="N72" s="47"/>
    </row>
    <row r="73" spans="1:27">
      <c r="H73" s="47"/>
      <c r="I73" s="47"/>
      <c r="J73" s="47"/>
      <c r="K73" s="47"/>
      <c r="L73" s="47"/>
      <c r="M73" s="47"/>
      <c r="N73" s="47"/>
    </row>
    <row r="74" spans="1:27">
      <c r="H74" s="47"/>
      <c r="I74" s="47"/>
      <c r="J74" s="47"/>
      <c r="K74" s="47"/>
      <c r="L74" s="47"/>
      <c r="M74" s="47"/>
      <c r="N74" s="47"/>
    </row>
    <row r="75" spans="1:27">
      <c r="H75" s="47"/>
      <c r="I75" s="47"/>
      <c r="J75" s="47"/>
      <c r="K75" s="47"/>
      <c r="L75" s="47"/>
      <c r="M75" s="47"/>
      <c r="N75" s="47"/>
    </row>
    <row r="76" spans="1:27">
      <c r="H76" s="47"/>
      <c r="I76" s="47"/>
      <c r="J76" s="47"/>
      <c r="K76" s="47"/>
      <c r="L76" s="47"/>
      <c r="M76" s="47"/>
      <c r="N76" s="47"/>
    </row>
    <row r="77" spans="1:27">
      <c r="H77" s="47"/>
      <c r="I77" s="47"/>
      <c r="J77" s="47"/>
      <c r="K77" s="47"/>
      <c r="L77" s="47"/>
      <c r="M77" s="47"/>
      <c r="N77" s="47"/>
    </row>
    <row r="78" spans="1:27">
      <c r="H78" s="47"/>
      <c r="I78" s="47"/>
      <c r="J78" s="47"/>
      <c r="K78" s="47"/>
      <c r="L78" s="47"/>
      <c r="M78" s="47"/>
      <c r="N78" s="47"/>
    </row>
    <row r="79" spans="1:27">
      <c r="H79" s="47"/>
      <c r="I79" s="47"/>
      <c r="J79" s="47"/>
      <c r="K79" s="47"/>
      <c r="L79" s="47"/>
      <c r="M79" s="47"/>
      <c r="N79" s="47"/>
    </row>
    <row r="80" spans="1:27">
      <c r="H80" s="47"/>
      <c r="I80" s="47"/>
      <c r="J80" s="47"/>
      <c r="K80" s="47"/>
      <c r="L80" s="47"/>
      <c r="M80" s="47"/>
      <c r="N80" s="47"/>
    </row>
    <row r="81" spans="1:28">
      <c r="H81" s="47"/>
      <c r="I81" s="47"/>
      <c r="J81" s="47"/>
      <c r="K81" s="47"/>
      <c r="L81" s="47"/>
      <c r="M81" s="47"/>
      <c r="N81" s="47"/>
    </row>
    <row r="82" spans="1:28">
      <c r="A82" s="70"/>
      <c r="B82" s="70"/>
      <c r="C82" s="56"/>
      <c r="D82" s="71"/>
      <c r="E82" s="71"/>
      <c r="H82" s="47"/>
      <c r="I82" s="47"/>
      <c r="J82" s="47"/>
      <c r="K82" s="47"/>
      <c r="L82" s="47"/>
      <c r="M82" s="47"/>
      <c r="N82" s="47"/>
    </row>
    <row r="83" spans="1:28" ht="12.75">
      <c r="A83"/>
      <c r="B83"/>
      <c r="C83"/>
      <c r="D83"/>
      <c r="E83"/>
      <c r="F83"/>
      <c r="G83"/>
      <c r="H83" s="47"/>
      <c r="I83" s="47"/>
      <c r="J83" s="47"/>
      <c r="K83" s="47"/>
      <c r="L83" s="47"/>
      <c r="M83" s="47"/>
      <c r="N83" s="47"/>
    </row>
    <row r="84" spans="1:28" ht="12.75">
      <c r="A84"/>
      <c r="B84"/>
      <c r="C84"/>
      <c r="D84"/>
      <c r="E84"/>
      <c r="F84"/>
      <c r="G84"/>
      <c r="H84" s="47"/>
      <c r="I84" s="47"/>
      <c r="J84" s="47"/>
      <c r="K84" s="47"/>
      <c r="L84" s="47"/>
      <c r="M84" s="47"/>
      <c r="N84" s="47"/>
    </row>
    <row r="85" spans="1:28" ht="12.75">
      <c r="A85"/>
      <c r="B85"/>
      <c r="C85"/>
      <c r="D85"/>
      <c r="E85"/>
      <c r="F85"/>
      <c r="G85"/>
      <c r="H85" s="47"/>
      <c r="I85" s="47"/>
      <c r="J85" s="47"/>
      <c r="K85" s="47"/>
      <c r="L85" s="47"/>
      <c r="M85" s="47"/>
      <c r="N85" s="47"/>
    </row>
    <row r="86" spans="1:28" ht="12.75">
      <c r="A86"/>
      <c r="B86"/>
      <c r="C86"/>
      <c r="D86"/>
      <c r="E86"/>
      <c r="F86"/>
      <c r="G86"/>
      <c r="H86" s="47"/>
      <c r="I86" s="47"/>
      <c r="J86" s="47"/>
      <c r="K86" s="47"/>
      <c r="L86" s="47"/>
      <c r="M86" s="47"/>
      <c r="N86" s="47"/>
    </row>
    <row r="87" spans="1:28" ht="12.75">
      <c r="A87"/>
      <c r="B87"/>
      <c r="C87"/>
      <c r="D87"/>
      <c r="E87"/>
      <c r="F87"/>
      <c r="G87"/>
      <c r="H87" s="47"/>
      <c r="I87" s="47"/>
      <c r="J87" s="47"/>
      <c r="K87" s="47"/>
      <c r="L87" s="47"/>
      <c r="M87" s="47"/>
      <c r="N87" s="47"/>
    </row>
    <row r="88" spans="1:28" ht="12.75">
      <c r="A88"/>
      <c r="B88"/>
      <c r="C88"/>
      <c r="D88"/>
      <c r="E88"/>
      <c r="F88"/>
      <c r="G88"/>
      <c r="H88" s="47"/>
      <c r="I88" s="47"/>
      <c r="J88" s="47"/>
      <c r="K88" s="47"/>
      <c r="L88" s="47"/>
      <c r="M88" s="47"/>
      <c r="N88" s="47"/>
    </row>
    <row r="89" spans="1:28" ht="12.75">
      <c r="A89"/>
      <c r="B89"/>
      <c r="C89"/>
      <c r="D89"/>
      <c r="E89"/>
      <c r="F89"/>
      <c r="G89"/>
      <c r="H89" s="47"/>
      <c r="I89" s="47"/>
      <c r="J89" s="47"/>
      <c r="K89" s="47"/>
      <c r="L89" s="47"/>
      <c r="M89" s="47"/>
      <c r="N89" s="47"/>
    </row>
    <row r="90" spans="1:28" ht="11.45" customHeight="1">
      <c r="A90" s="70"/>
      <c r="B90" s="70"/>
      <c r="C90" s="56"/>
      <c r="D90" s="71"/>
      <c r="E90" s="71"/>
      <c r="H90" s="59"/>
      <c r="I90" s="47"/>
      <c r="J90" s="47"/>
      <c r="K90" s="47"/>
      <c r="L90" s="47"/>
      <c r="M90" s="47"/>
      <c r="N90" s="47"/>
    </row>
    <row r="91" spans="1:28" ht="11.45" customHeight="1">
      <c r="A91" s="70"/>
      <c r="B91" s="70"/>
      <c r="C91" s="56"/>
      <c r="D91" s="56"/>
      <c r="E91" s="56"/>
      <c r="F91" s="71"/>
      <c r="H91" s="59"/>
      <c r="I91" s="47"/>
      <c r="J91" s="47"/>
      <c r="K91" s="47"/>
      <c r="L91" s="47"/>
      <c r="M91" s="47"/>
      <c r="N91" s="47"/>
      <c r="O91" s="47"/>
    </row>
    <row r="92" spans="1:28" ht="11.45" customHeight="1">
      <c r="A92" s="72"/>
      <c r="B92" s="72"/>
      <c r="C92" s="70"/>
      <c r="D92" s="70"/>
      <c r="E92" s="70"/>
      <c r="F92" s="73"/>
      <c r="G92" s="73"/>
      <c r="H92" s="73"/>
      <c r="I92" s="73"/>
      <c r="J92" s="73"/>
      <c r="K92" s="73"/>
      <c r="L92" s="73"/>
      <c r="M92" s="73"/>
      <c r="N92" s="73"/>
      <c r="O92" s="73"/>
      <c r="P92" s="73"/>
      <c r="Q92" s="73"/>
      <c r="R92" s="73"/>
      <c r="S92" s="73"/>
      <c r="T92" s="73"/>
      <c r="U92" s="73"/>
      <c r="V92" s="73"/>
      <c r="W92" s="73"/>
      <c r="X92" s="73"/>
      <c r="Y92" s="73"/>
      <c r="Z92" s="73"/>
      <c r="AA92" s="73"/>
      <c r="AB92" s="73"/>
    </row>
    <row r="93" spans="1:28" ht="11.45" customHeight="1">
      <c r="A93" s="72"/>
      <c r="B93" s="72"/>
      <c r="C93" s="70"/>
      <c r="D93" s="70"/>
      <c r="E93" s="70"/>
      <c r="F93" s="74"/>
      <c r="G93" s="74"/>
      <c r="H93" s="74"/>
      <c r="I93" s="74"/>
      <c r="J93" s="74"/>
      <c r="K93" s="74"/>
      <c r="L93" s="74"/>
      <c r="M93" s="74"/>
      <c r="N93" s="74"/>
      <c r="O93" s="74"/>
      <c r="P93" s="74"/>
      <c r="Q93" s="74"/>
      <c r="R93" s="74"/>
      <c r="S93" s="74"/>
      <c r="T93" s="74"/>
      <c r="U93" s="74"/>
      <c r="V93" s="74"/>
      <c r="W93" s="74"/>
      <c r="X93" s="74"/>
      <c r="Y93" s="74"/>
      <c r="Z93" s="74"/>
      <c r="AA93" s="74"/>
      <c r="AB93" s="74"/>
    </row>
    <row r="94" spans="1:28" ht="11.45" customHeight="1">
      <c r="A94" s="70"/>
      <c r="B94" s="70"/>
      <c r="C94" s="56"/>
      <c r="D94" s="56"/>
      <c r="E94" s="56"/>
      <c r="F94" s="71"/>
      <c r="H94" s="59"/>
      <c r="I94" s="47"/>
      <c r="J94" s="47"/>
      <c r="K94" s="47"/>
      <c r="L94" s="47"/>
      <c r="M94" s="47"/>
      <c r="N94" s="47"/>
      <c r="O94" s="47"/>
    </row>
    <row r="95" spans="1:28" ht="11.45" customHeight="1">
      <c r="A95" s="70"/>
      <c r="B95" s="70"/>
      <c r="C95" s="56"/>
      <c r="D95" s="56"/>
      <c r="E95" s="56"/>
      <c r="F95" s="72"/>
      <c r="G95" s="72"/>
      <c r="H95" s="72"/>
      <c r="I95" s="72"/>
      <c r="J95" s="72"/>
      <c r="K95" s="72"/>
      <c r="L95" s="72"/>
      <c r="M95" s="72"/>
      <c r="N95" s="72"/>
      <c r="O95" s="72"/>
      <c r="P95" s="72"/>
      <c r="Q95" s="72"/>
      <c r="R95" s="72"/>
      <c r="S95" s="72"/>
      <c r="T95" s="72"/>
      <c r="U95" s="72"/>
      <c r="V95" s="72"/>
      <c r="W95" s="72"/>
      <c r="X95" s="72"/>
      <c r="Y95" s="72"/>
      <c r="Z95" s="72"/>
      <c r="AA95" s="72"/>
      <c r="AB95" s="72"/>
    </row>
    <row r="96" spans="1:28" ht="11.45" customHeight="1">
      <c r="A96" s="70"/>
      <c r="B96" s="70"/>
      <c r="C96" s="70"/>
      <c r="D96" s="70"/>
      <c r="E96" s="70"/>
      <c r="F96" s="73"/>
      <c r="G96" s="73"/>
      <c r="H96" s="73"/>
      <c r="I96" s="73"/>
      <c r="J96" s="73"/>
      <c r="K96" s="73"/>
      <c r="L96" s="73"/>
      <c r="M96" s="73"/>
      <c r="N96" s="73"/>
      <c r="O96" s="73"/>
      <c r="P96" s="73"/>
      <c r="Q96" s="73"/>
      <c r="R96" s="73"/>
      <c r="S96" s="73"/>
      <c r="T96" s="73"/>
      <c r="U96" s="73"/>
      <c r="V96" s="73"/>
      <c r="W96" s="73"/>
      <c r="X96" s="73"/>
      <c r="Y96" s="73"/>
      <c r="Z96" s="73"/>
      <c r="AA96" s="73"/>
      <c r="AB96" s="73"/>
    </row>
    <row r="97" spans="1:28" ht="11.45" customHeight="1">
      <c r="A97" s="70"/>
      <c r="B97" s="70"/>
      <c r="C97" s="56"/>
      <c r="D97" s="56"/>
      <c r="E97" s="56"/>
      <c r="F97" s="72"/>
      <c r="G97" s="77"/>
      <c r="H97" s="77"/>
      <c r="I97" s="77"/>
      <c r="J97" s="77"/>
      <c r="K97" s="77"/>
      <c r="L97" s="77"/>
      <c r="M97" s="77"/>
      <c r="N97" s="77"/>
      <c r="O97" s="77"/>
      <c r="P97" s="77"/>
      <c r="Q97" s="77"/>
      <c r="R97" s="77"/>
      <c r="S97" s="77"/>
      <c r="T97" s="77"/>
      <c r="U97" s="77"/>
      <c r="V97" s="77"/>
      <c r="W97" s="77"/>
      <c r="X97" s="77"/>
      <c r="Y97" s="77"/>
      <c r="Z97" s="77"/>
      <c r="AA97" s="77"/>
      <c r="AB97" s="77"/>
    </row>
    <row r="98" spans="1:28" ht="11.45" customHeight="1">
      <c r="A98" s="70"/>
      <c r="B98" s="70"/>
      <c r="C98" s="70"/>
      <c r="D98" s="70"/>
      <c r="E98" s="70"/>
      <c r="F98" s="72"/>
      <c r="G98" s="77"/>
      <c r="H98" s="77"/>
      <c r="I98" s="77"/>
      <c r="J98" s="77"/>
      <c r="K98" s="77"/>
      <c r="L98" s="77"/>
      <c r="M98" s="77"/>
      <c r="N98" s="77"/>
      <c r="O98" s="77"/>
      <c r="P98" s="77"/>
      <c r="Q98" s="77"/>
      <c r="R98" s="77"/>
      <c r="S98" s="77"/>
      <c r="T98" s="77"/>
      <c r="U98" s="77"/>
      <c r="V98" s="77"/>
      <c r="W98" s="77"/>
      <c r="X98" s="77"/>
      <c r="Y98" s="77"/>
      <c r="Z98" s="77"/>
      <c r="AA98" s="77"/>
      <c r="AB98" s="77"/>
    </row>
    <row r="99" spans="1:28" ht="11.45" customHeight="1">
      <c r="A99" s="70"/>
      <c r="B99" s="70"/>
      <c r="C99" s="70"/>
      <c r="D99" s="70"/>
      <c r="E99" s="70"/>
      <c r="F99" s="72"/>
      <c r="G99" s="77"/>
      <c r="H99" s="77"/>
      <c r="I99" s="77"/>
      <c r="J99" s="77"/>
      <c r="K99" s="77"/>
      <c r="L99" s="77"/>
      <c r="M99" s="77"/>
      <c r="N99" s="77"/>
      <c r="O99" s="77"/>
      <c r="P99" s="77"/>
      <c r="Q99" s="77"/>
      <c r="R99" s="77"/>
      <c r="S99" s="77"/>
      <c r="T99" s="77"/>
      <c r="U99" s="77"/>
      <c r="V99" s="77"/>
      <c r="W99" s="77"/>
      <c r="X99" s="77"/>
      <c r="Y99" s="77"/>
      <c r="Z99" s="77"/>
      <c r="AA99" s="77"/>
      <c r="AB99" s="77"/>
    </row>
    <row r="100" spans="1:28" ht="12.75">
      <c r="A100"/>
      <c r="B100"/>
      <c r="C100"/>
      <c r="D100"/>
      <c r="E100"/>
      <c r="F100"/>
      <c r="G100"/>
      <c r="H100" s="47"/>
      <c r="I100" s="47"/>
      <c r="J100" s="47"/>
      <c r="K100" s="47"/>
      <c r="L100" s="47"/>
      <c r="M100" s="47"/>
      <c r="N100" s="47"/>
    </row>
    <row r="101" spans="1:28" ht="12.75">
      <c r="A101"/>
      <c r="B101"/>
      <c r="C101"/>
      <c r="D101"/>
      <c r="E101"/>
      <c r="F101"/>
      <c r="G101"/>
      <c r="H101" s="47"/>
      <c r="I101" s="47"/>
      <c r="J101" s="47"/>
      <c r="K101" s="47"/>
      <c r="L101" s="47"/>
      <c r="M101" s="47"/>
      <c r="N101" s="47"/>
    </row>
    <row r="102" spans="1:28" ht="12.75">
      <c r="A102"/>
      <c r="B102"/>
      <c r="C102"/>
      <c r="D102"/>
      <c r="E102"/>
      <c r="F102"/>
      <c r="G102"/>
      <c r="H102" s="47"/>
      <c r="I102" s="47"/>
      <c r="J102" s="47"/>
      <c r="K102" s="47"/>
      <c r="L102" s="47"/>
      <c r="M102" s="47"/>
      <c r="N102" s="47"/>
    </row>
    <row r="103" spans="1:28" ht="12.75">
      <c r="A103"/>
      <c r="B103"/>
      <c r="C103"/>
      <c r="D103"/>
      <c r="E103"/>
      <c r="F103"/>
      <c r="G103"/>
      <c r="H103" s="47"/>
      <c r="I103" s="47"/>
      <c r="J103" s="47"/>
      <c r="K103" s="47"/>
      <c r="L103" s="47"/>
      <c r="M103" s="47"/>
      <c r="N103" s="47"/>
    </row>
    <row r="104" spans="1:28" ht="12.75">
      <c r="A104"/>
      <c r="B104"/>
      <c r="C104"/>
      <c r="D104"/>
      <c r="E104"/>
      <c r="F104"/>
      <c r="G104"/>
      <c r="H104" s="47"/>
      <c r="I104" s="47"/>
      <c r="J104" s="47"/>
      <c r="K104" s="47"/>
      <c r="L104" s="47"/>
      <c r="M104" s="47"/>
      <c r="N104" s="47"/>
    </row>
    <row r="105" spans="1:28" ht="12.75">
      <c r="A105"/>
      <c r="B105"/>
      <c r="C105"/>
      <c r="D105"/>
      <c r="E105"/>
      <c r="F105"/>
      <c r="G105"/>
      <c r="H105" s="47"/>
      <c r="I105" s="47"/>
      <c r="J105" s="47"/>
      <c r="K105" s="47"/>
      <c r="L105" s="47"/>
      <c r="M105" s="47"/>
      <c r="N105" s="47"/>
    </row>
    <row r="106" spans="1:28" ht="12.75">
      <c r="A106"/>
      <c r="B106"/>
      <c r="C106"/>
      <c r="D106"/>
      <c r="E106"/>
      <c r="F106"/>
      <c r="G106"/>
      <c r="H106" s="47"/>
      <c r="I106" s="47"/>
      <c r="J106" s="47"/>
      <c r="K106" s="47"/>
      <c r="L106" s="47"/>
      <c r="M106" s="47"/>
      <c r="N106" s="47"/>
    </row>
    <row r="107" spans="1:28" ht="12.75">
      <c r="A107"/>
      <c r="B107"/>
      <c r="C107"/>
      <c r="D107"/>
      <c r="E107"/>
      <c r="F107"/>
      <c r="G107"/>
      <c r="H107" s="47"/>
      <c r="I107" s="47"/>
      <c r="J107" s="47"/>
      <c r="K107" s="47"/>
      <c r="L107" s="47"/>
      <c r="M107" s="47"/>
      <c r="N107" s="47"/>
    </row>
    <row r="108" spans="1:28" ht="12.75">
      <c r="A108"/>
      <c r="B108"/>
      <c r="C108"/>
      <c r="D108"/>
      <c r="E108"/>
      <c r="F108"/>
      <c r="G108"/>
      <c r="H108" s="47"/>
      <c r="I108" s="47"/>
      <c r="J108" s="47"/>
      <c r="K108" s="47"/>
      <c r="L108" s="47"/>
      <c r="M108" s="47"/>
      <c r="N108" s="47"/>
    </row>
    <row r="109" spans="1:28" ht="12.75">
      <c r="A109"/>
      <c r="B109"/>
      <c r="C109"/>
      <c r="D109"/>
      <c r="E109"/>
      <c r="F109"/>
      <c r="G109"/>
      <c r="H109" s="47"/>
      <c r="I109" s="47"/>
      <c r="J109" s="47"/>
      <c r="K109" s="47"/>
      <c r="L109" s="47"/>
      <c r="M109" s="47"/>
      <c r="N109" s="47"/>
    </row>
    <row r="110" spans="1:28" ht="12.75">
      <c r="A110"/>
      <c r="B110"/>
      <c r="C110"/>
      <c r="D110"/>
      <c r="E110"/>
      <c r="F110"/>
      <c r="G110"/>
      <c r="H110" s="47"/>
      <c r="I110" s="47"/>
      <c r="J110" s="47"/>
      <c r="K110" s="47"/>
      <c r="L110" s="47"/>
      <c r="M110" s="47"/>
      <c r="N110" s="47"/>
    </row>
    <row r="111" spans="1:28" ht="12.75">
      <c r="A111"/>
      <c r="B111"/>
      <c r="C111"/>
      <c r="D111"/>
      <c r="E111"/>
      <c r="F111"/>
      <c r="G111"/>
      <c r="H111" s="47"/>
      <c r="I111" s="47"/>
      <c r="J111" s="47"/>
      <c r="K111" s="47"/>
      <c r="L111" s="47"/>
      <c r="M111" s="47"/>
      <c r="N111" s="47"/>
    </row>
    <row r="112" spans="1:28" ht="12.75">
      <c r="A112"/>
      <c r="B112"/>
      <c r="C112"/>
      <c r="D112"/>
      <c r="E112"/>
      <c r="F112"/>
      <c r="G112"/>
      <c r="H112" s="47"/>
      <c r="I112" s="47"/>
      <c r="J112" s="47"/>
      <c r="K112" s="47"/>
      <c r="L112" s="47"/>
      <c r="M112" s="47"/>
      <c r="N112" s="47"/>
    </row>
    <row r="113" spans="1:14" ht="12.75">
      <c r="A113"/>
      <c r="B113"/>
      <c r="C113"/>
      <c r="D113"/>
      <c r="E113"/>
      <c r="F113"/>
      <c r="G113"/>
      <c r="H113" s="47"/>
      <c r="I113" s="47"/>
      <c r="J113" s="47"/>
      <c r="K113" s="47"/>
      <c r="L113" s="47"/>
      <c r="M113" s="47"/>
      <c r="N113" s="47"/>
    </row>
    <row r="114" spans="1:14" ht="12.75">
      <c r="A114"/>
      <c r="B114"/>
      <c r="C114"/>
      <c r="D114"/>
      <c r="E114"/>
      <c r="F114"/>
      <c r="G114"/>
      <c r="H114" s="47"/>
      <c r="I114" s="47"/>
      <c r="J114" s="47"/>
      <c r="K114" s="47"/>
      <c r="L114" s="47"/>
      <c r="M114" s="47"/>
      <c r="N114" s="47"/>
    </row>
    <row r="115" spans="1:14" ht="12.75">
      <c r="A115"/>
      <c r="B115"/>
      <c r="C115"/>
      <c r="D115"/>
      <c r="E115"/>
      <c r="F115"/>
      <c r="G115"/>
      <c r="H115" s="47"/>
      <c r="I115" s="47"/>
      <c r="J115" s="47"/>
      <c r="K115" s="47"/>
      <c r="L115" s="47"/>
      <c r="M115" s="47"/>
      <c r="N115" s="47"/>
    </row>
    <row r="116" spans="1:14" ht="12.75">
      <c r="A116"/>
      <c r="B116"/>
      <c r="C116"/>
      <c r="D116"/>
      <c r="E116"/>
      <c r="F116"/>
      <c r="G116"/>
      <c r="H116" s="47"/>
      <c r="I116" s="47"/>
      <c r="J116" s="47"/>
      <c r="K116" s="47"/>
      <c r="L116" s="47"/>
      <c r="M116" s="47"/>
      <c r="N116" s="47"/>
    </row>
    <row r="117" spans="1:14" ht="12.75">
      <c r="A117"/>
      <c r="B117"/>
      <c r="C117"/>
      <c r="D117"/>
      <c r="E117"/>
      <c r="F117"/>
      <c r="G117"/>
      <c r="H117" s="47"/>
      <c r="I117" s="47"/>
      <c r="J117" s="47"/>
      <c r="K117" s="47"/>
      <c r="L117" s="47"/>
      <c r="M117" s="47"/>
      <c r="N117" s="47"/>
    </row>
    <row r="118" spans="1:14" ht="12.75">
      <c r="A118"/>
      <c r="B118"/>
      <c r="C118"/>
      <c r="D118"/>
      <c r="E118"/>
      <c r="F118"/>
      <c r="G118"/>
      <c r="H118" s="47"/>
      <c r="I118" s="47"/>
      <c r="J118" s="47"/>
      <c r="K118" s="47"/>
      <c r="L118" s="47"/>
      <c r="M118" s="47"/>
      <c r="N118" s="47"/>
    </row>
    <row r="119" spans="1:14" ht="12.75">
      <c r="A119"/>
      <c r="B119"/>
      <c r="C119"/>
      <c r="D119"/>
      <c r="E119"/>
      <c r="F119"/>
      <c r="G119"/>
      <c r="H119" s="47"/>
      <c r="I119" s="47"/>
      <c r="J119" s="47"/>
      <c r="K119" s="47"/>
      <c r="L119" s="47"/>
      <c r="M119" s="47"/>
      <c r="N119" s="47"/>
    </row>
    <row r="120" spans="1:14" ht="12.75">
      <c r="A120"/>
      <c r="B120"/>
      <c r="C120"/>
      <c r="D120"/>
      <c r="E120"/>
      <c r="F120"/>
      <c r="G120"/>
      <c r="H120" s="47"/>
      <c r="I120" s="47"/>
      <c r="J120" s="47"/>
      <c r="K120" s="47"/>
      <c r="L120" s="47"/>
      <c r="M120" s="47"/>
      <c r="N120" s="47"/>
    </row>
    <row r="121" spans="1:14" ht="12.75">
      <c r="A121"/>
      <c r="B121"/>
      <c r="C121"/>
      <c r="D121"/>
      <c r="E121"/>
      <c r="F121"/>
      <c r="G121"/>
      <c r="H121" s="47"/>
      <c r="I121" s="47"/>
      <c r="J121" s="47"/>
      <c r="K121" s="47"/>
      <c r="L121" s="47"/>
      <c r="M121" s="47"/>
      <c r="N121" s="47"/>
    </row>
    <row r="122" spans="1:14" ht="12.75">
      <c r="A122"/>
      <c r="B122"/>
      <c r="C122"/>
      <c r="D122"/>
      <c r="E122"/>
      <c r="F122"/>
      <c r="G122"/>
      <c r="H122" s="47"/>
      <c r="I122" s="47"/>
      <c r="J122" s="47"/>
      <c r="K122" s="47"/>
      <c r="L122" s="47"/>
      <c r="M122" s="47"/>
      <c r="N122" s="47"/>
    </row>
    <row r="123" spans="1:14" ht="12.75">
      <c r="A123"/>
      <c r="B123"/>
      <c r="C123"/>
      <c r="D123"/>
      <c r="E123"/>
      <c r="F123"/>
      <c r="G123"/>
      <c r="H123" s="47"/>
      <c r="I123" s="47"/>
      <c r="J123" s="47"/>
      <c r="K123" s="47"/>
      <c r="L123" s="47"/>
      <c r="M123" s="47"/>
      <c r="N123" s="47"/>
    </row>
    <row r="124" spans="1:14" ht="12.75">
      <c r="A124"/>
      <c r="B124"/>
      <c r="C124"/>
      <c r="D124"/>
      <c r="E124"/>
      <c r="F124"/>
      <c r="G124"/>
      <c r="H124" s="47"/>
      <c r="I124" s="47"/>
      <c r="J124" s="47"/>
      <c r="K124" s="47"/>
      <c r="L124" s="47"/>
      <c r="M124" s="47"/>
      <c r="N124" s="47"/>
    </row>
    <row r="125" spans="1:14" ht="12.75">
      <c r="A125"/>
      <c r="B125"/>
      <c r="C125"/>
      <c r="D125"/>
      <c r="E125"/>
      <c r="F125"/>
      <c r="G125"/>
      <c r="H125" s="47"/>
      <c r="I125" s="47"/>
      <c r="J125" s="47"/>
      <c r="K125" s="47"/>
      <c r="L125" s="47"/>
      <c r="M125" s="47"/>
      <c r="N125" s="47"/>
    </row>
    <row r="126" spans="1:14" ht="12.75">
      <c r="A126"/>
      <c r="B126"/>
      <c r="C126"/>
      <c r="D126"/>
      <c r="E126"/>
      <c r="F126"/>
      <c r="G126"/>
      <c r="H126" s="47"/>
      <c r="I126" s="47"/>
      <c r="J126" s="47"/>
      <c r="K126" s="47"/>
      <c r="L126" s="47"/>
      <c r="M126" s="47"/>
      <c r="N126" s="47"/>
    </row>
    <row r="127" spans="1:14" ht="12.75">
      <c r="A127"/>
      <c r="B127"/>
      <c r="C127"/>
      <c r="D127"/>
      <c r="E127"/>
      <c r="F127"/>
      <c r="G127"/>
      <c r="H127" s="47"/>
      <c r="I127" s="47"/>
      <c r="J127" s="47"/>
      <c r="K127" s="47"/>
      <c r="L127" s="47"/>
      <c r="M127" s="47"/>
      <c r="N127" s="47"/>
    </row>
    <row r="128" spans="1:14" ht="12.75">
      <c r="A128"/>
      <c r="B128"/>
      <c r="C128"/>
      <c r="D128"/>
      <c r="E128"/>
      <c r="F128"/>
      <c r="G128"/>
      <c r="H128" s="47"/>
      <c r="I128" s="47"/>
      <c r="J128" s="47"/>
      <c r="K128" s="47"/>
      <c r="L128" s="47"/>
      <c r="M128" s="47"/>
      <c r="N128" s="47"/>
    </row>
    <row r="129" spans="1:14" ht="12.75">
      <c r="A129"/>
      <c r="B129"/>
      <c r="C129"/>
      <c r="D129"/>
      <c r="E129"/>
      <c r="F129"/>
      <c r="G129"/>
      <c r="H129" s="47"/>
      <c r="I129" s="47"/>
      <c r="J129" s="47"/>
      <c r="K129" s="47"/>
      <c r="L129" s="47"/>
      <c r="M129" s="47"/>
      <c r="N129" s="47"/>
    </row>
    <row r="130" spans="1:14" ht="12.75">
      <c r="A130"/>
      <c r="B130"/>
      <c r="C130"/>
      <c r="D130"/>
      <c r="E130"/>
      <c r="F130"/>
      <c r="G130"/>
      <c r="H130" s="47"/>
      <c r="I130" s="47"/>
      <c r="J130" s="47"/>
      <c r="K130" s="47"/>
      <c r="L130" s="47"/>
      <c r="M130" s="47"/>
      <c r="N130" s="47"/>
    </row>
    <row r="131" spans="1:14" ht="12.75">
      <c r="A131"/>
      <c r="B131"/>
      <c r="C131"/>
      <c r="D131"/>
      <c r="E131"/>
      <c r="F131"/>
      <c r="G131"/>
      <c r="H131" s="47"/>
      <c r="I131" s="47"/>
      <c r="J131" s="47"/>
      <c r="K131" s="47"/>
      <c r="L131" s="47"/>
      <c r="M131" s="47"/>
      <c r="N131" s="47"/>
    </row>
    <row r="132" spans="1:14" ht="12.75">
      <c r="A132"/>
      <c r="B132"/>
      <c r="C132"/>
      <c r="D132"/>
      <c r="E132"/>
      <c r="F132"/>
      <c r="G132"/>
      <c r="H132" s="47"/>
      <c r="I132" s="47"/>
      <c r="J132" s="47"/>
      <c r="K132" s="47"/>
      <c r="L132" s="47"/>
      <c r="M132" s="47"/>
      <c r="N132" s="47"/>
    </row>
    <row r="133" spans="1:14" ht="12.75">
      <c r="A133"/>
      <c r="B133"/>
      <c r="C133"/>
      <c r="D133"/>
      <c r="E133"/>
      <c r="F133"/>
      <c r="G133"/>
      <c r="H133" s="47"/>
      <c r="I133" s="47"/>
      <c r="J133" s="47"/>
      <c r="K133" s="47"/>
      <c r="L133" s="47"/>
      <c r="M133" s="47"/>
      <c r="N133" s="47"/>
    </row>
    <row r="134" spans="1:14">
      <c r="C134" s="47"/>
      <c r="D134" s="47"/>
      <c r="E134" s="47"/>
      <c r="F134" s="47"/>
      <c r="G134" s="47"/>
      <c r="H134" s="47"/>
      <c r="I134" s="47"/>
      <c r="J134" s="47"/>
      <c r="K134" s="47"/>
      <c r="L134" s="47"/>
      <c r="M134" s="47"/>
      <c r="N134" s="47"/>
    </row>
    <row r="135" spans="1:14">
      <c r="C135" s="47"/>
      <c r="D135" s="47"/>
      <c r="E135" s="47"/>
      <c r="F135" s="47"/>
      <c r="G135" s="47"/>
      <c r="H135" s="47"/>
      <c r="I135" s="47"/>
      <c r="J135" s="47"/>
      <c r="K135" s="47"/>
      <c r="L135" s="47"/>
      <c r="M135" s="47"/>
      <c r="N135" s="47"/>
    </row>
    <row r="136" spans="1:14">
      <c r="C136" s="47"/>
      <c r="D136" s="47"/>
      <c r="E136" s="47"/>
      <c r="F136" s="47"/>
      <c r="G136" s="47"/>
      <c r="H136" s="47"/>
      <c r="I136" s="47"/>
      <c r="J136" s="47"/>
      <c r="K136" s="47"/>
      <c r="L136" s="47"/>
      <c r="M136" s="47"/>
      <c r="N136" s="47"/>
    </row>
    <row r="137" spans="1:14">
      <c r="C137" s="47"/>
      <c r="D137" s="47"/>
      <c r="E137" s="47"/>
      <c r="F137" s="47"/>
      <c r="G137" s="47"/>
      <c r="H137" s="47"/>
      <c r="I137" s="47"/>
      <c r="J137" s="47"/>
      <c r="K137" s="47"/>
      <c r="L137" s="47"/>
      <c r="M137" s="47"/>
      <c r="N137" s="47"/>
    </row>
    <row r="138" spans="1:14">
      <c r="C138" s="47"/>
      <c r="D138" s="47"/>
      <c r="E138" s="47"/>
      <c r="F138" s="47"/>
      <c r="G138" s="47"/>
      <c r="H138" s="47"/>
      <c r="I138" s="47"/>
      <c r="J138" s="47"/>
      <c r="K138" s="47"/>
      <c r="L138" s="47"/>
      <c r="M138" s="47"/>
      <c r="N138" s="47"/>
    </row>
    <row r="139" spans="1:14">
      <c r="C139" s="47"/>
      <c r="D139" s="47"/>
      <c r="E139" s="47"/>
      <c r="F139" s="47"/>
      <c r="G139" s="47"/>
      <c r="H139" s="47"/>
      <c r="I139" s="47"/>
      <c r="J139" s="47"/>
      <c r="K139" s="47"/>
      <c r="L139" s="47"/>
      <c r="M139" s="47"/>
      <c r="N139" s="47"/>
    </row>
    <row r="140" spans="1:14">
      <c r="C140" s="47"/>
      <c r="D140" s="47"/>
      <c r="E140" s="47"/>
      <c r="F140" s="47"/>
      <c r="G140" s="47"/>
      <c r="H140" s="47"/>
      <c r="I140" s="47"/>
      <c r="J140" s="47"/>
      <c r="K140" s="47"/>
      <c r="L140" s="47"/>
      <c r="M140" s="47"/>
      <c r="N140" s="47"/>
    </row>
    <row r="141" spans="1:14">
      <c r="C141" s="47"/>
      <c r="D141" s="47"/>
      <c r="E141" s="47"/>
      <c r="F141" s="47"/>
      <c r="G141" s="47"/>
      <c r="H141" s="47"/>
      <c r="I141" s="47"/>
      <c r="J141" s="47"/>
      <c r="K141" s="47"/>
      <c r="L141" s="47"/>
      <c r="M141" s="47"/>
      <c r="N141" s="47"/>
    </row>
    <row r="142" spans="1:14">
      <c r="C142" s="47"/>
      <c r="D142" s="47"/>
      <c r="E142" s="47"/>
      <c r="F142" s="47"/>
      <c r="G142" s="47"/>
      <c r="H142" s="47"/>
      <c r="I142" s="47"/>
      <c r="J142" s="47"/>
      <c r="K142" s="47"/>
      <c r="L142" s="47"/>
      <c r="M142" s="47"/>
      <c r="N142" s="47"/>
    </row>
    <row r="143" spans="1:14">
      <c r="C143" s="47"/>
      <c r="D143" s="47"/>
      <c r="E143" s="47"/>
      <c r="F143" s="47"/>
      <c r="G143" s="47"/>
      <c r="H143" s="47"/>
      <c r="I143" s="47"/>
      <c r="J143" s="47"/>
      <c r="K143" s="47"/>
      <c r="L143" s="47"/>
      <c r="M143" s="47"/>
      <c r="N143" s="47"/>
    </row>
    <row r="144" spans="1:14">
      <c r="C144" s="47"/>
      <c r="D144" s="47"/>
      <c r="E144" s="47"/>
      <c r="F144" s="47"/>
      <c r="G144" s="47"/>
      <c r="H144" s="47"/>
      <c r="I144" s="47"/>
      <c r="J144" s="47"/>
      <c r="K144" s="47"/>
      <c r="L144" s="47"/>
      <c r="M144" s="47"/>
      <c r="N144" s="47"/>
    </row>
    <row r="145" spans="3:14">
      <c r="C145" s="47"/>
      <c r="D145" s="47"/>
      <c r="E145" s="47"/>
      <c r="F145" s="47"/>
      <c r="G145" s="47"/>
      <c r="H145" s="47"/>
      <c r="I145" s="47"/>
      <c r="J145" s="47"/>
      <c r="K145" s="47"/>
      <c r="L145" s="47"/>
      <c r="M145" s="47"/>
      <c r="N145" s="47"/>
    </row>
    <row r="146" spans="3:14">
      <c r="C146" s="47"/>
      <c r="D146" s="47"/>
      <c r="E146" s="47"/>
      <c r="F146" s="47"/>
      <c r="G146" s="47"/>
      <c r="H146" s="47"/>
      <c r="I146" s="47"/>
      <c r="J146" s="47"/>
      <c r="K146" s="47"/>
      <c r="L146" s="47"/>
      <c r="M146" s="47"/>
      <c r="N146" s="47"/>
    </row>
    <row r="147" spans="3:14">
      <c r="C147" s="47"/>
      <c r="D147" s="47"/>
      <c r="E147" s="47"/>
      <c r="F147" s="47"/>
      <c r="G147" s="47"/>
      <c r="H147" s="47"/>
      <c r="I147" s="47"/>
      <c r="J147" s="47"/>
      <c r="K147" s="47"/>
      <c r="L147" s="47"/>
      <c r="M147" s="47"/>
      <c r="N147" s="47"/>
    </row>
    <row r="148" spans="3:14">
      <c r="C148" s="47"/>
      <c r="D148" s="47"/>
      <c r="E148" s="47"/>
      <c r="F148" s="47"/>
      <c r="G148" s="47"/>
      <c r="H148" s="47"/>
      <c r="I148" s="47"/>
      <c r="J148" s="47"/>
      <c r="K148" s="47"/>
      <c r="L148" s="47"/>
      <c r="M148" s="47"/>
      <c r="N148" s="47"/>
    </row>
    <row r="149" spans="3:14">
      <c r="C149" s="47"/>
      <c r="D149" s="47"/>
      <c r="E149" s="47"/>
      <c r="F149" s="47"/>
      <c r="G149" s="47"/>
      <c r="H149" s="47"/>
      <c r="I149" s="47"/>
      <c r="J149" s="47"/>
      <c r="K149" s="47"/>
      <c r="L149" s="47"/>
      <c r="M149" s="47"/>
      <c r="N149" s="47"/>
    </row>
    <row r="150" spans="3:14">
      <c r="C150" s="47"/>
      <c r="D150" s="47"/>
      <c r="E150" s="47"/>
      <c r="F150" s="47"/>
      <c r="G150" s="47"/>
      <c r="H150" s="47"/>
      <c r="I150" s="47"/>
      <c r="J150" s="47"/>
      <c r="K150" s="47"/>
      <c r="L150" s="47"/>
      <c r="M150" s="47"/>
      <c r="N150" s="47"/>
    </row>
    <row r="151" spans="3:14">
      <c r="C151" s="47"/>
      <c r="D151" s="47"/>
      <c r="E151" s="47"/>
      <c r="F151" s="47"/>
      <c r="G151" s="47"/>
      <c r="H151" s="47"/>
      <c r="I151" s="47"/>
      <c r="J151" s="47"/>
      <c r="K151" s="47"/>
      <c r="L151" s="47"/>
      <c r="M151" s="47"/>
      <c r="N151" s="47"/>
    </row>
    <row r="152" spans="3:14">
      <c r="C152" s="47"/>
      <c r="D152" s="47"/>
      <c r="E152" s="47"/>
      <c r="F152" s="47"/>
      <c r="G152" s="47"/>
      <c r="H152" s="47"/>
      <c r="I152" s="47"/>
      <c r="J152" s="47"/>
      <c r="K152" s="47"/>
      <c r="L152" s="47"/>
      <c r="M152" s="47"/>
      <c r="N152" s="47"/>
    </row>
    <row r="153" spans="3:14">
      <c r="C153" s="47"/>
      <c r="D153" s="47"/>
      <c r="E153" s="47"/>
      <c r="F153" s="47"/>
      <c r="G153" s="47"/>
      <c r="H153" s="47"/>
      <c r="I153" s="47"/>
      <c r="J153" s="47"/>
      <c r="K153" s="47"/>
      <c r="L153" s="47"/>
      <c r="M153" s="47"/>
      <c r="N153" s="47"/>
    </row>
    <row r="154" spans="3:14">
      <c r="C154" s="47"/>
      <c r="D154" s="47"/>
      <c r="E154" s="47"/>
      <c r="F154" s="47"/>
      <c r="G154" s="47"/>
      <c r="H154" s="47"/>
      <c r="I154" s="47"/>
      <c r="J154" s="47"/>
      <c r="K154" s="47"/>
      <c r="L154" s="47"/>
      <c r="M154" s="47"/>
      <c r="N154" s="47"/>
    </row>
    <row r="155" spans="3:14">
      <c r="C155" s="47"/>
      <c r="D155" s="47"/>
      <c r="E155" s="47"/>
      <c r="F155" s="47"/>
      <c r="G155" s="47"/>
      <c r="H155" s="47"/>
      <c r="I155" s="47"/>
      <c r="J155" s="47"/>
      <c r="K155" s="47"/>
      <c r="L155" s="47"/>
      <c r="M155" s="47"/>
      <c r="N155" s="47"/>
    </row>
    <row r="156" spans="3:14">
      <c r="C156" s="47"/>
      <c r="D156" s="47"/>
      <c r="E156" s="47"/>
      <c r="F156" s="47"/>
      <c r="G156" s="47"/>
      <c r="H156" s="47"/>
      <c r="I156" s="47"/>
      <c r="J156" s="47"/>
      <c r="K156" s="47"/>
      <c r="L156" s="47"/>
      <c r="M156" s="47"/>
      <c r="N156" s="47"/>
    </row>
    <row r="157" spans="3:14">
      <c r="C157" s="47"/>
      <c r="D157" s="47"/>
      <c r="E157" s="47"/>
      <c r="F157" s="47"/>
      <c r="G157" s="47"/>
      <c r="H157" s="47"/>
      <c r="I157" s="47"/>
      <c r="J157" s="47"/>
      <c r="K157" s="47"/>
      <c r="L157" s="47"/>
      <c r="M157" s="47"/>
      <c r="N157" s="47"/>
    </row>
    <row r="158" spans="3:14">
      <c r="C158" s="47"/>
      <c r="D158" s="47"/>
      <c r="E158" s="47"/>
      <c r="F158" s="47"/>
      <c r="G158" s="47"/>
      <c r="H158" s="47"/>
      <c r="I158" s="47"/>
      <c r="J158" s="47"/>
      <c r="K158" s="47"/>
      <c r="L158" s="47"/>
      <c r="M158" s="47"/>
      <c r="N158" s="47"/>
    </row>
    <row r="159" spans="3:14">
      <c r="C159" s="47"/>
      <c r="D159" s="47"/>
      <c r="E159" s="47"/>
      <c r="F159" s="47"/>
      <c r="G159" s="47"/>
      <c r="H159" s="47"/>
      <c r="I159" s="47"/>
      <c r="J159" s="47"/>
      <c r="K159" s="47"/>
      <c r="L159" s="47"/>
      <c r="M159" s="47"/>
      <c r="N159" s="47"/>
    </row>
    <row r="160" spans="3:14">
      <c r="C160" s="47"/>
      <c r="D160" s="47"/>
      <c r="E160" s="47"/>
      <c r="F160" s="47"/>
      <c r="G160" s="47"/>
      <c r="H160" s="47"/>
      <c r="I160" s="47"/>
      <c r="J160" s="47"/>
      <c r="K160" s="47"/>
      <c r="L160" s="47"/>
      <c r="M160" s="47"/>
      <c r="N160" s="47"/>
    </row>
    <row r="161" spans="3:14">
      <c r="C161" s="47"/>
      <c r="D161" s="47"/>
      <c r="E161" s="47"/>
      <c r="F161" s="47"/>
      <c r="G161" s="47"/>
      <c r="H161" s="47"/>
      <c r="I161" s="47"/>
      <c r="J161" s="47"/>
      <c r="K161" s="47"/>
      <c r="L161" s="47"/>
      <c r="M161" s="47"/>
      <c r="N161" s="47"/>
    </row>
    <row r="162" spans="3:14">
      <c r="C162" s="47"/>
      <c r="D162" s="47"/>
      <c r="E162" s="47"/>
      <c r="F162" s="47"/>
      <c r="G162" s="47"/>
      <c r="H162" s="47"/>
      <c r="I162" s="47"/>
      <c r="J162" s="47"/>
      <c r="K162" s="47"/>
      <c r="L162" s="47"/>
      <c r="M162" s="47"/>
      <c r="N162" s="47"/>
    </row>
    <row r="163" spans="3:14">
      <c r="C163" s="47"/>
      <c r="D163" s="47"/>
      <c r="E163" s="47"/>
      <c r="F163" s="47"/>
      <c r="G163" s="47"/>
      <c r="H163" s="47"/>
      <c r="I163" s="47"/>
      <c r="J163" s="47"/>
      <c r="K163" s="47"/>
      <c r="L163" s="47"/>
      <c r="M163" s="47"/>
      <c r="N163" s="47"/>
    </row>
    <row r="164" spans="3:14">
      <c r="C164" s="47"/>
      <c r="D164" s="47"/>
      <c r="E164" s="47"/>
      <c r="F164" s="47"/>
      <c r="G164" s="47"/>
      <c r="H164" s="47"/>
      <c r="I164" s="47"/>
      <c r="J164" s="47"/>
      <c r="K164" s="47"/>
      <c r="L164" s="47"/>
      <c r="M164" s="47"/>
      <c r="N164" s="47"/>
    </row>
    <row r="165" spans="3:14">
      <c r="C165" s="47"/>
      <c r="D165" s="47"/>
      <c r="E165" s="47"/>
      <c r="F165" s="47"/>
      <c r="G165" s="47"/>
      <c r="H165" s="47"/>
      <c r="I165" s="47"/>
      <c r="J165" s="47"/>
      <c r="K165" s="47"/>
      <c r="L165" s="47"/>
      <c r="M165" s="47"/>
      <c r="N165" s="47"/>
    </row>
    <row r="166" spans="3:14">
      <c r="C166" s="47"/>
      <c r="D166" s="47"/>
      <c r="E166" s="47"/>
      <c r="F166" s="75"/>
      <c r="G166" s="47"/>
      <c r="H166" s="47"/>
      <c r="I166" s="47"/>
      <c r="J166" s="47"/>
      <c r="K166" s="47"/>
      <c r="L166" s="47"/>
      <c r="M166" s="47"/>
      <c r="N166" s="47"/>
    </row>
    <row r="167" spans="3:14">
      <c r="C167" s="47"/>
      <c r="D167" s="47"/>
      <c r="E167" s="47"/>
      <c r="F167" s="47"/>
      <c r="G167" s="47"/>
      <c r="H167" s="47"/>
      <c r="I167" s="47"/>
      <c r="J167" s="47"/>
      <c r="K167" s="47"/>
      <c r="L167" s="47"/>
      <c r="M167" s="47"/>
      <c r="N167" s="47"/>
    </row>
    <row r="168" spans="3:14">
      <c r="C168" s="47"/>
      <c r="D168" s="47"/>
      <c r="E168" s="47"/>
      <c r="F168" s="47"/>
      <c r="G168" s="47"/>
      <c r="H168" s="47"/>
      <c r="I168" s="47"/>
      <c r="J168" s="47"/>
      <c r="K168" s="47"/>
      <c r="L168" s="47"/>
      <c r="M168" s="47"/>
      <c r="N168" s="47"/>
    </row>
    <row r="169" spans="3:14">
      <c r="C169" s="47"/>
      <c r="D169" s="47"/>
      <c r="E169" s="47"/>
      <c r="F169" s="47"/>
      <c r="G169" s="47"/>
      <c r="H169" s="47"/>
      <c r="I169" s="47"/>
      <c r="J169" s="47"/>
      <c r="K169" s="47"/>
      <c r="L169" s="47"/>
      <c r="M169" s="47"/>
      <c r="N169" s="47"/>
    </row>
    <row r="170" spans="3:14">
      <c r="C170" s="47"/>
      <c r="D170" s="47"/>
      <c r="E170" s="47"/>
      <c r="F170" s="47"/>
      <c r="G170" s="47"/>
      <c r="H170" s="47"/>
      <c r="I170" s="47"/>
      <c r="J170" s="47"/>
      <c r="K170" s="47"/>
      <c r="L170" s="47"/>
      <c r="M170" s="47"/>
      <c r="N170" s="47"/>
    </row>
    <row r="171" spans="3:14">
      <c r="C171" s="47"/>
      <c r="D171" s="47"/>
      <c r="E171" s="47"/>
      <c r="F171" s="47"/>
      <c r="G171" s="47"/>
      <c r="H171" s="47"/>
      <c r="I171" s="47"/>
      <c r="J171" s="47"/>
      <c r="K171" s="47"/>
      <c r="L171" s="47"/>
      <c r="M171" s="47"/>
      <c r="N171" s="47"/>
    </row>
    <row r="172" spans="3:14">
      <c r="C172" s="47"/>
      <c r="D172" s="47"/>
      <c r="E172" s="47"/>
      <c r="F172" s="47"/>
      <c r="G172" s="47"/>
      <c r="H172" s="47"/>
      <c r="I172" s="47"/>
      <c r="J172" s="47"/>
      <c r="K172" s="47"/>
      <c r="L172" s="47"/>
      <c r="M172" s="47"/>
      <c r="N172" s="47"/>
    </row>
    <row r="173" spans="3:14">
      <c r="C173" s="47"/>
      <c r="D173" s="47"/>
      <c r="E173" s="47"/>
      <c r="F173" s="47"/>
      <c r="G173" s="47"/>
      <c r="H173" s="47"/>
      <c r="I173" s="47"/>
      <c r="J173" s="47"/>
      <c r="K173" s="47"/>
      <c r="L173" s="47"/>
      <c r="M173" s="47"/>
      <c r="N173" s="47"/>
    </row>
    <row r="174" spans="3:14">
      <c r="C174" s="47"/>
      <c r="D174" s="47"/>
      <c r="E174" s="47"/>
      <c r="F174" s="47"/>
      <c r="G174" s="47"/>
      <c r="H174" s="47"/>
      <c r="I174" s="47"/>
      <c r="J174" s="47"/>
      <c r="K174" s="47"/>
      <c r="L174" s="47"/>
      <c r="M174" s="47"/>
      <c r="N174" s="47"/>
    </row>
    <row r="175" spans="3:14">
      <c r="C175" s="47"/>
      <c r="D175" s="47"/>
      <c r="E175" s="47"/>
      <c r="F175" s="47"/>
      <c r="G175" s="47"/>
      <c r="H175" s="47"/>
      <c r="I175" s="47"/>
      <c r="J175" s="47"/>
      <c r="K175" s="47"/>
      <c r="L175" s="47"/>
      <c r="M175" s="47"/>
      <c r="N175" s="47"/>
    </row>
    <row r="176" spans="3:14">
      <c r="C176" s="47"/>
      <c r="D176" s="47"/>
      <c r="E176" s="47"/>
      <c r="F176" s="47"/>
      <c r="G176" s="47"/>
      <c r="H176" s="47"/>
      <c r="I176" s="47"/>
      <c r="J176" s="47"/>
      <c r="K176" s="47"/>
      <c r="L176" s="47"/>
      <c r="M176" s="47"/>
      <c r="N176" s="47"/>
    </row>
    <row r="177" spans="3:14">
      <c r="C177" s="47"/>
      <c r="D177" s="47"/>
      <c r="E177" s="47"/>
      <c r="F177" s="47"/>
      <c r="G177" s="47"/>
      <c r="H177" s="47"/>
      <c r="I177" s="47"/>
      <c r="J177" s="47"/>
      <c r="K177" s="47"/>
      <c r="L177" s="47"/>
      <c r="M177" s="47"/>
      <c r="N177" s="47"/>
    </row>
    <row r="178" spans="3:14">
      <c r="C178" s="47"/>
      <c r="D178" s="47"/>
      <c r="E178" s="47"/>
      <c r="F178" s="47"/>
      <c r="G178" s="47"/>
      <c r="H178" s="47"/>
      <c r="I178" s="47"/>
      <c r="J178" s="47"/>
      <c r="K178" s="47"/>
      <c r="L178" s="47"/>
      <c r="M178" s="47"/>
      <c r="N178" s="47"/>
    </row>
    <row r="179" spans="3:14">
      <c r="C179" s="47"/>
      <c r="D179" s="47"/>
      <c r="E179" s="47"/>
      <c r="F179" s="47"/>
      <c r="G179" s="47"/>
      <c r="H179" s="47"/>
      <c r="I179" s="47"/>
      <c r="J179" s="47"/>
      <c r="K179" s="47"/>
      <c r="L179" s="47"/>
      <c r="M179" s="47"/>
      <c r="N179" s="47"/>
    </row>
    <row r="180" spans="3:14">
      <c r="C180" s="47"/>
      <c r="D180" s="47"/>
      <c r="E180" s="47"/>
      <c r="F180" s="47"/>
      <c r="G180" s="47"/>
      <c r="H180" s="47"/>
      <c r="I180" s="47"/>
      <c r="J180" s="47"/>
      <c r="K180" s="47"/>
      <c r="L180" s="47"/>
      <c r="M180" s="47"/>
      <c r="N180" s="47"/>
    </row>
    <row r="181" spans="3:14">
      <c r="C181" s="47"/>
      <c r="D181" s="47"/>
      <c r="E181" s="47"/>
      <c r="F181" s="47"/>
      <c r="G181" s="47"/>
      <c r="H181" s="47"/>
      <c r="I181" s="47"/>
      <c r="J181" s="47"/>
      <c r="K181" s="47"/>
      <c r="L181" s="47"/>
      <c r="M181" s="47"/>
      <c r="N181" s="47"/>
    </row>
    <row r="182" spans="3:14">
      <c r="C182" s="47"/>
      <c r="D182" s="47"/>
      <c r="E182" s="47"/>
      <c r="F182" s="47"/>
      <c r="G182" s="47"/>
      <c r="H182" s="47"/>
      <c r="I182" s="47"/>
      <c r="J182" s="47"/>
      <c r="K182" s="47"/>
      <c r="L182" s="47"/>
      <c r="M182" s="47"/>
      <c r="N182" s="47"/>
    </row>
    <row r="183" spans="3:14">
      <c r="C183" s="47"/>
      <c r="D183" s="47"/>
      <c r="E183" s="47"/>
      <c r="F183" s="47"/>
      <c r="G183" s="47"/>
      <c r="H183" s="47"/>
      <c r="I183" s="47"/>
      <c r="J183" s="47"/>
      <c r="K183" s="47"/>
      <c r="L183" s="47"/>
      <c r="M183" s="47"/>
      <c r="N183" s="47"/>
    </row>
    <row r="184" spans="3:14">
      <c r="C184" s="47"/>
      <c r="D184" s="47"/>
      <c r="E184" s="47"/>
      <c r="F184" s="47"/>
      <c r="G184" s="47"/>
      <c r="H184" s="47"/>
      <c r="I184" s="47"/>
      <c r="J184" s="47"/>
      <c r="K184" s="47"/>
      <c r="L184" s="47"/>
      <c r="M184" s="47"/>
      <c r="N184" s="47"/>
    </row>
    <row r="185" spans="3:14">
      <c r="C185" s="47"/>
      <c r="D185" s="47"/>
      <c r="E185" s="47"/>
      <c r="F185" s="47"/>
      <c r="G185" s="47"/>
      <c r="H185" s="47"/>
      <c r="I185" s="47"/>
      <c r="J185" s="47"/>
      <c r="K185" s="47"/>
      <c r="L185" s="47"/>
      <c r="M185" s="47"/>
      <c r="N185" s="47"/>
    </row>
    <row r="186" spans="3:14">
      <c r="C186" s="47"/>
      <c r="D186" s="47"/>
      <c r="E186" s="47"/>
      <c r="F186" s="47"/>
      <c r="G186" s="47"/>
      <c r="H186" s="47"/>
      <c r="I186" s="47"/>
      <c r="J186" s="47"/>
      <c r="K186" s="47"/>
      <c r="L186" s="47"/>
      <c r="M186" s="47"/>
      <c r="N186" s="47"/>
    </row>
    <row r="187" spans="3:14">
      <c r="C187" s="47"/>
      <c r="D187" s="47"/>
      <c r="E187" s="47"/>
      <c r="F187" s="47"/>
      <c r="G187" s="47"/>
      <c r="H187" s="47"/>
      <c r="I187" s="47"/>
      <c r="J187" s="47"/>
      <c r="K187" s="47"/>
      <c r="L187" s="47"/>
      <c r="M187" s="47"/>
      <c r="N187" s="47"/>
    </row>
    <row r="188" spans="3:14">
      <c r="C188" s="47"/>
      <c r="D188" s="47"/>
      <c r="E188" s="47"/>
      <c r="F188" s="47"/>
      <c r="G188" s="47"/>
      <c r="H188" s="47"/>
      <c r="I188" s="47"/>
      <c r="J188" s="47"/>
      <c r="K188" s="47"/>
      <c r="L188" s="47"/>
      <c r="M188" s="47"/>
      <c r="N188" s="47"/>
    </row>
    <row r="189" spans="3:14">
      <c r="C189" s="47"/>
      <c r="D189" s="47"/>
      <c r="E189" s="47"/>
      <c r="F189" s="47"/>
      <c r="G189" s="47"/>
      <c r="H189" s="47"/>
      <c r="I189" s="47"/>
      <c r="J189" s="47"/>
      <c r="K189" s="47"/>
      <c r="L189" s="47"/>
      <c r="M189" s="47"/>
      <c r="N189" s="47"/>
    </row>
    <row r="190" spans="3:14">
      <c r="C190" s="47"/>
      <c r="D190" s="47"/>
      <c r="E190" s="47"/>
      <c r="F190" s="47"/>
      <c r="G190" s="47"/>
      <c r="H190" s="47"/>
      <c r="I190" s="47"/>
      <c r="J190" s="47"/>
      <c r="K190" s="47"/>
      <c r="L190" s="47"/>
      <c r="M190" s="47"/>
      <c r="N190" s="47"/>
    </row>
    <row r="191" spans="3:14">
      <c r="C191" s="47"/>
      <c r="D191" s="47"/>
      <c r="E191" s="47"/>
      <c r="F191" s="47"/>
      <c r="G191" s="47"/>
      <c r="H191" s="47"/>
      <c r="I191" s="47"/>
      <c r="J191" s="47"/>
      <c r="K191" s="47"/>
      <c r="L191" s="47"/>
      <c r="M191" s="47"/>
      <c r="N191" s="47"/>
    </row>
    <row r="192" spans="3:14">
      <c r="C192" s="47"/>
      <c r="D192" s="47"/>
      <c r="E192" s="47"/>
      <c r="F192" s="47"/>
      <c r="G192" s="47"/>
      <c r="H192" s="47"/>
      <c r="I192" s="47"/>
      <c r="J192" s="47"/>
      <c r="K192" s="47"/>
      <c r="L192" s="47"/>
      <c r="M192" s="47"/>
      <c r="N192" s="47"/>
    </row>
    <row r="193" spans="3:14">
      <c r="C193" s="47"/>
      <c r="D193" s="47"/>
      <c r="E193" s="47"/>
      <c r="F193" s="47"/>
      <c r="G193" s="47"/>
      <c r="H193" s="47"/>
      <c r="I193" s="47"/>
      <c r="J193" s="47"/>
      <c r="K193" s="47"/>
      <c r="L193" s="47"/>
      <c r="M193" s="47"/>
      <c r="N193" s="47"/>
    </row>
    <row r="194" spans="3:14">
      <c r="C194" s="47"/>
      <c r="D194" s="47"/>
      <c r="E194" s="47"/>
      <c r="F194" s="47"/>
      <c r="G194" s="47"/>
      <c r="H194" s="47"/>
      <c r="I194" s="47"/>
      <c r="J194" s="47"/>
      <c r="K194" s="47"/>
      <c r="L194" s="47"/>
      <c r="M194" s="47"/>
      <c r="N194" s="47"/>
    </row>
    <row r="195" spans="3:14">
      <c r="C195" s="47"/>
      <c r="D195" s="47"/>
      <c r="E195" s="47"/>
      <c r="F195" s="47"/>
      <c r="G195" s="47"/>
      <c r="H195" s="47"/>
      <c r="I195" s="47"/>
      <c r="J195" s="47"/>
      <c r="K195" s="47"/>
      <c r="L195" s="47"/>
      <c r="M195" s="47"/>
      <c r="N195" s="47"/>
    </row>
    <row r="196" spans="3:14">
      <c r="C196" s="47"/>
      <c r="D196" s="47"/>
      <c r="E196" s="47"/>
      <c r="F196" s="47"/>
      <c r="G196" s="47"/>
      <c r="H196" s="47"/>
      <c r="I196" s="47"/>
      <c r="J196" s="47"/>
      <c r="K196" s="47"/>
      <c r="L196" s="47"/>
      <c r="M196" s="47"/>
      <c r="N196" s="47"/>
    </row>
    <row r="197" spans="3:14">
      <c r="C197" s="47"/>
      <c r="D197" s="47"/>
      <c r="E197" s="47"/>
      <c r="F197" s="47"/>
      <c r="G197" s="47"/>
      <c r="H197" s="47"/>
      <c r="I197" s="47"/>
      <c r="J197" s="47"/>
      <c r="K197" s="47"/>
      <c r="L197" s="47"/>
      <c r="M197" s="47"/>
      <c r="N197" s="47"/>
    </row>
    <row r="198" spans="3:14">
      <c r="C198" s="47"/>
      <c r="D198" s="47"/>
      <c r="E198" s="47"/>
      <c r="F198" s="47"/>
      <c r="G198" s="47"/>
      <c r="H198" s="47"/>
      <c r="I198" s="47"/>
      <c r="J198" s="47"/>
      <c r="K198" s="47"/>
      <c r="L198" s="47"/>
      <c r="M198" s="47"/>
      <c r="N198" s="47"/>
    </row>
    <row r="199" spans="3:14">
      <c r="C199" s="47"/>
      <c r="D199" s="47"/>
      <c r="E199" s="47"/>
      <c r="F199" s="47"/>
      <c r="G199" s="47"/>
      <c r="H199" s="47"/>
      <c r="I199" s="47"/>
      <c r="J199" s="47"/>
      <c r="K199" s="47"/>
      <c r="L199" s="47"/>
      <c r="M199" s="47"/>
      <c r="N199" s="47"/>
    </row>
    <row r="200" spans="3:14">
      <c r="C200" s="47"/>
      <c r="D200" s="47"/>
      <c r="E200" s="47"/>
      <c r="F200" s="47"/>
      <c r="G200" s="47"/>
      <c r="H200" s="47"/>
      <c r="I200" s="47"/>
      <c r="J200" s="47"/>
      <c r="K200" s="47"/>
      <c r="L200" s="47"/>
      <c r="M200" s="47"/>
      <c r="N200" s="47"/>
    </row>
    <row r="201" spans="3:14">
      <c r="C201" s="47"/>
      <c r="D201" s="47"/>
      <c r="E201" s="47"/>
      <c r="F201" s="47"/>
      <c r="G201" s="47"/>
      <c r="H201" s="47"/>
      <c r="I201" s="47"/>
      <c r="J201" s="47"/>
      <c r="K201" s="47"/>
      <c r="L201" s="47"/>
      <c r="M201" s="47"/>
      <c r="N201" s="47"/>
    </row>
    <row r="202" spans="3:14">
      <c r="C202" s="47"/>
      <c r="D202" s="47"/>
      <c r="E202" s="47"/>
      <c r="F202" s="47"/>
      <c r="G202" s="47"/>
      <c r="H202" s="47"/>
      <c r="I202" s="47"/>
      <c r="J202" s="47"/>
      <c r="K202" s="47"/>
      <c r="L202" s="47"/>
      <c r="M202" s="47"/>
      <c r="N202" s="47"/>
    </row>
    <row r="203" spans="3:14">
      <c r="C203" s="47"/>
      <c r="D203" s="47"/>
      <c r="E203" s="47"/>
      <c r="F203" s="47"/>
      <c r="G203" s="47"/>
      <c r="H203" s="47"/>
      <c r="I203" s="47"/>
      <c r="J203" s="47"/>
      <c r="K203" s="47"/>
      <c r="L203" s="47"/>
      <c r="M203" s="47"/>
      <c r="N203" s="47"/>
    </row>
    <row r="204" spans="3:14">
      <c r="C204" s="47"/>
      <c r="D204" s="47"/>
      <c r="E204" s="47"/>
      <c r="F204" s="47"/>
      <c r="G204" s="47"/>
      <c r="H204" s="47"/>
      <c r="I204" s="47"/>
      <c r="J204" s="47"/>
      <c r="K204" s="47"/>
      <c r="L204" s="47"/>
      <c r="M204" s="47"/>
      <c r="N204" s="47"/>
    </row>
    <row r="205" spans="3:14">
      <c r="C205" s="47"/>
      <c r="D205" s="47"/>
      <c r="E205" s="47"/>
      <c r="F205" s="47"/>
      <c r="G205" s="47"/>
      <c r="H205" s="47"/>
      <c r="I205" s="47"/>
      <c r="J205" s="47"/>
      <c r="K205" s="47"/>
      <c r="L205" s="47"/>
      <c r="M205" s="47"/>
      <c r="N205" s="47"/>
    </row>
    <row r="206" spans="3:14">
      <c r="C206" s="47"/>
      <c r="D206" s="47"/>
      <c r="E206" s="47"/>
      <c r="F206" s="47"/>
      <c r="G206" s="47"/>
      <c r="H206" s="47"/>
      <c r="I206" s="47"/>
      <c r="J206" s="47"/>
      <c r="K206" s="47"/>
      <c r="L206" s="47"/>
      <c r="M206" s="47"/>
      <c r="N206" s="47"/>
    </row>
    <row r="207" spans="3:14">
      <c r="C207" s="47"/>
      <c r="D207" s="47"/>
      <c r="E207" s="47"/>
      <c r="F207" s="47"/>
      <c r="G207" s="47"/>
      <c r="H207" s="47"/>
      <c r="I207" s="47"/>
      <c r="J207" s="47"/>
      <c r="K207" s="47"/>
      <c r="L207" s="47"/>
      <c r="M207" s="47"/>
      <c r="N207" s="47"/>
    </row>
    <row r="208" spans="3:14">
      <c r="C208" s="47"/>
      <c r="D208" s="47"/>
      <c r="E208" s="47"/>
      <c r="F208" s="47"/>
      <c r="G208" s="47"/>
      <c r="H208" s="47"/>
      <c r="I208" s="47"/>
      <c r="J208" s="47"/>
      <c r="K208" s="47"/>
      <c r="L208" s="47"/>
      <c r="M208" s="47"/>
      <c r="N208" s="47"/>
    </row>
    <row r="209" spans="3:14">
      <c r="C209" s="47"/>
      <c r="D209" s="47"/>
      <c r="E209" s="47"/>
      <c r="F209" s="47"/>
      <c r="G209" s="47"/>
      <c r="H209" s="47"/>
      <c r="I209" s="47"/>
      <c r="J209" s="47"/>
      <c r="K209" s="47"/>
      <c r="L209" s="47"/>
      <c r="M209" s="47"/>
      <c r="N209" s="47"/>
    </row>
    <row r="210" spans="3:14">
      <c r="C210" s="47"/>
      <c r="D210" s="47"/>
      <c r="E210" s="47"/>
      <c r="F210" s="47"/>
      <c r="G210" s="47"/>
      <c r="H210" s="47"/>
      <c r="I210" s="47"/>
      <c r="J210" s="47"/>
      <c r="K210" s="47"/>
      <c r="L210" s="47"/>
      <c r="M210" s="47"/>
      <c r="N210" s="47"/>
    </row>
    <row r="211" spans="3:14">
      <c r="C211" s="47"/>
      <c r="D211" s="47"/>
      <c r="E211" s="47"/>
      <c r="F211" s="47"/>
      <c r="G211" s="47"/>
      <c r="H211" s="47"/>
      <c r="I211" s="47"/>
      <c r="J211" s="47"/>
      <c r="K211" s="47"/>
      <c r="L211" s="47"/>
      <c r="M211" s="47"/>
      <c r="N211" s="47"/>
    </row>
    <row r="212" spans="3:14">
      <c r="C212" s="47"/>
      <c r="D212" s="47"/>
      <c r="E212" s="47"/>
      <c r="F212" s="47"/>
      <c r="G212" s="47"/>
      <c r="H212" s="47"/>
      <c r="I212" s="47"/>
      <c r="J212" s="47"/>
      <c r="K212" s="47"/>
      <c r="L212" s="47"/>
      <c r="M212" s="47"/>
      <c r="N212" s="47"/>
    </row>
    <row r="213" spans="3:14">
      <c r="C213" s="47"/>
      <c r="D213" s="47"/>
      <c r="E213" s="47"/>
      <c r="F213" s="47"/>
      <c r="G213" s="47"/>
      <c r="H213" s="47"/>
      <c r="I213" s="47"/>
      <c r="J213" s="47"/>
      <c r="K213" s="47"/>
      <c r="L213" s="47"/>
      <c r="M213" s="47"/>
      <c r="N213" s="47"/>
    </row>
    <row r="214" spans="3:14">
      <c r="C214" s="47"/>
      <c r="D214" s="47"/>
      <c r="E214" s="47"/>
      <c r="F214" s="47"/>
      <c r="G214" s="47"/>
      <c r="H214" s="47"/>
      <c r="I214" s="47"/>
      <c r="J214" s="47"/>
      <c r="K214" s="47"/>
      <c r="L214" s="47"/>
      <c r="M214" s="47"/>
      <c r="N214" s="47"/>
    </row>
    <row r="215" spans="3:14">
      <c r="C215" s="47"/>
      <c r="D215" s="47"/>
      <c r="E215" s="47"/>
      <c r="F215" s="47"/>
      <c r="G215" s="47"/>
      <c r="H215" s="47"/>
      <c r="I215" s="47"/>
      <c r="J215" s="47"/>
      <c r="K215" s="47"/>
      <c r="L215" s="47"/>
      <c r="M215" s="47"/>
      <c r="N215" s="47"/>
    </row>
    <row r="216" spans="3:14">
      <c r="C216" s="47"/>
      <c r="D216" s="47"/>
      <c r="E216" s="47"/>
      <c r="F216" s="47"/>
      <c r="G216" s="47"/>
      <c r="H216" s="47"/>
      <c r="I216" s="47"/>
      <c r="J216" s="47"/>
      <c r="K216" s="47"/>
      <c r="L216" s="47"/>
      <c r="M216" s="47"/>
      <c r="N216" s="47"/>
    </row>
    <row r="217" spans="3:14">
      <c r="C217" s="47"/>
      <c r="D217" s="47"/>
      <c r="E217" s="47"/>
      <c r="F217" s="47"/>
      <c r="G217" s="47"/>
      <c r="H217" s="47"/>
      <c r="I217" s="47"/>
      <c r="J217" s="47"/>
      <c r="K217" s="47"/>
      <c r="L217" s="47"/>
      <c r="M217" s="47"/>
      <c r="N217" s="47"/>
    </row>
    <row r="218" spans="3:14">
      <c r="C218" s="47"/>
      <c r="D218" s="47"/>
      <c r="E218" s="47"/>
      <c r="F218" s="47"/>
      <c r="G218" s="47"/>
      <c r="H218" s="47"/>
      <c r="I218" s="47"/>
      <c r="J218" s="47"/>
      <c r="K218" s="47"/>
      <c r="L218" s="47"/>
      <c r="M218" s="47"/>
      <c r="N218" s="47"/>
    </row>
    <row r="219" spans="3:14">
      <c r="C219" s="47"/>
      <c r="D219" s="47"/>
      <c r="E219" s="47"/>
      <c r="F219" s="47"/>
      <c r="G219" s="47"/>
      <c r="H219" s="47"/>
      <c r="I219" s="47"/>
      <c r="J219" s="47"/>
      <c r="K219" s="47"/>
      <c r="L219" s="47"/>
      <c r="M219" s="47"/>
      <c r="N219" s="47"/>
    </row>
    <row r="220" spans="3:14">
      <c r="C220" s="47"/>
      <c r="D220" s="47"/>
      <c r="E220" s="47"/>
      <c r="F220" s="47"/>
      <c r="G220" s="47"/>
      <c r="H220" s="47"/>
      <c r="I220" s="47"/>
      <c r="J220" s="47"/>
      <c r="K220" s="47"/>
      <c r="L220" s="47"/>
      <c r="M220" s="47"/>
      <c r="N220" s="47"/>
    </row>
    <row r="221" spans="3:14">
      <c r="C221" s="47"/>
      <c r="D221" s="47"/>
      <c r="E221" s="47"/>
      <c r="F221" s="47"/>
      <c r="G221" s="47"/>
      <c r="H221" s="47"/>
      <c r="I221" s="47"/>
      <c r="J221" s="47"/>
      <c r="K221" s="47"/>
      <c r="L221" s="47"/>
      <c r="M221" s="47"/>
      <c r="N221" s="47"/>
    </row>
    <row r="222" spans="3:14">
      <c r="C222" s="47"/>
      <c r="D222" s="47"/>
      <c r="E222" s="47"/>
      <c r="F222" s="47"/>
      <c r="G222" s="47"/>
      <c r="H222" s="47"/>
      <c r="I222" s="47"/>
      <c r="J222" s="47"/>
      <c r="K222" s="47"/>
      <c r="L222" s="47"/>
      <c r="M222" s="47"/>
      <c r="N222" s="47"/>
    </row>
    <row r="223" spans="3:14">
      <c r="C223" s="47"/>
      <c r="D223" s="47"/>
      <c r="E223" s="47"/>
      <c r="F223" s="47"/>
      <c r="G223" s="47"/>
      <c r="H223" s="47"/>
      <c r="I223" s="47"/>
      <c r="J223" s="47"/>
      <c r="K223" s="47"/>
      <c r="L223" s="47"/>
      <c r="M223" s="47"/>
      <c r="N223" s="47"/>
    </row>
    <row r="224" spans="3:14">
      <c r="C224" s="47"/>
      <c r="D224" s="47"/>
      <c r="E224" s="47"/>
      <c r="F224" s="47"/>
      <c r="G224" s="47"/>
      <c r="H224" s="47"/>
      <c r="I224" s="47"/>
      <c r="J224" s="47"/>
      <c r="K224" s="47"/>
      <c r="L224" s="47"/>
      <c r="M224" s="47"/>
      <c r="N224" s="47"/>
    </row>
    <row r="225" spans="3:14">
      <c r="C225" s="47"/>
      <c r="D225" s="47"/>
      <c r="E225" s="47"/>
      <c r="F225" s="47"/>
      <c r="G225" s="47"/>
      <c r="H225" s="47"/>
      <c r="I225" s="47"/>
      <c r="J225" s="47"/>
      <c r="K225" s="47"/>
      <c r="L225" s="47"/>
      <c r="M225" s="47"/>
      <c r="N225" s="47"/>
    </row>
    <row r="226" spans="3:14">
      <c r="C226" s="47"/>
      <c r="D226" s="47"/>
      <c r="E226" s="47"/>
      <c r="F226" s="47"/>
      <c r="G226" s="47"/>
      <c r="H226" s="47"/>
      <c r="I226" s="47"/>
      <c r="J226" s="47"/>
      <c r="K226" s="47"/>
      <c r="L226" s="47"/>
      <c r="M226" s="47"/>
      <c r="N226" s="47"/>
    </row>
    <row r="227" spans="3:14">
      <c r="C227" s="47"/>
      <c r="D227" s="47"/>
      <c r="E227" s="47"/>
      <c r="F227" s="47"/>
      <c r="G227" s="47"/>
      <c r="H227" s="47"/>
      <c r="I227" s="47"/>
      <c r="J227" s="47"/>
      <c r="K227" s="47"/>
      <c r="L227" s="47"/>
      <c r="M227" s="47"/>
      <c r="N227" s="47"/>
    </row>
    <row r="228" spans="3:14">
      <c r="C228" s="47"/>
      <c r="D228" s="47"/>
      <c r="E228" s="47"/>
      <c r="F228" s="47"/>
      <c r="G228" s="47"/>
      <c r="H228" s="47"/>
      <c r="I228" s="47"/>
      <c r="J228" s="47"/>
      <c r="K228" s="47"/>
      <c r="L228" s="47"/>
      <c r="M228" s="47"/>
      <c r="N228" s="47"/>
    </row>
    <row r="229" spans="3:14">
      <c r="C229" s="47"/>
      <c r="D229" s="47"/>
      <c r="E229" s="47"/>
      <c r="F229" s="47"/>
      <c r="G229" s="47"/>
      <c r="H229" s="47"/>
      <c r="I229" s="47"/>
      <c r="J229" s="47"/>
      <c r="K229" s="47"/>
      <c r="L229" s="47"/>
      <c r="M229" s="47"/>
      <c r="N229" s="47"/>
    </row>
    <row r="230" spans="3:14">
      <c r="C230" s="47"/>
      <c r="D230" s="47"/>
      <c r="E230" s="47"/>
      <c r="F230" s="47"/>
      <c r="G230" s="47"/>
      <c r="H230" s="47"/>
      <c r="I230" s="47"/>
      <c r="J230" s="47"/>
      <c r="K230" s="47"/>
      <c r="L230" s="47"/>
      <c r="M230" s="47"/>
      <c r="N230" s="47"/>
    </row>
    <row r="231" spans="3:14">
      <c r="C231" s="47"/>
      <c r="D231" s="47"/>
      <c r="E231" s="47"/>
      <c r="F231" s="47"/>
      <c r="G231" s="47"/>
      <c r="H231" s="47"/>
      <c r="I231" s="47"/>
      <c r="J231" s="47"/>
      <c r="K231" s="47"/>
      <c r="L231" s="47"/>
      <c r="M231" s="47"/>
      <c r="N231" s="47"/>
    </row>
    <row r="232" spans="3:14">
      <c r="C232" s="47"/>
      <c r="D232" s="47"/>
      <c r="E232" s="47"/>
      <c r="F232" s="47"/>
      <c r="G232" s="47"/>
      <c r="H232" s="47"/>
      <c r="I232" s="47"/>
      <c r="J232" s="47"/>
      <c r="K232" s="47"/>
      <c r="L232" s="47"/>
      <c r="M232" s="47"/>
      <c r="N232" s="47"/>
    </row>
    <row r="233" spans="3:14">
      <c r="C233" s="47"/>
      <c r="D233" s="47"/>
      <c r="E233" s="47"/>
      <c r="F233" s="47"/>
      <c r="G233" s="47"/>
      <c r="H233" s="47"/>
      <c r="I233" s="47"/>
      <c r="J233" s="47"/>
      <c r="K233" s="47"/>
      <c r="L233" s="47"/>
      <c r="M233" s="47"/>
      <c r="N233" s="47"/>
    </row>
    <row r="234" spans="3:14">
      <c r="C234" s="47"/>
      <c r="D234" s="47"/>
      <c r="E234" s="47"/>
      <c r="F234" s="47"/>
      <c r="G234" s="47"/>
      <c r="H234" s="47"/>
      <c r="I234" s="47"/>
      <c r="J234" s="47"/>
      <c r="K234" s="47"/>
      <c r="L234" s="47"/>
      <c r="M234" s="47"/>
      <c r="N234" s="47"/>
    </row>
    <row r="235" spans="3:14">
      <c r="C235" s="47"/>
      <c r="D235" s="47"/>
      <c r="E235" s="47"/>
      <c r="F235" s="47"/>
      <c r="G235" s="47"/>
      <c r="H235" s="47"/>
      <c r="I235" s="47"/>
      <c r="J235" s="47"/>
      <c r="K235" s="47"/>
      <c r="L235" s="47"/>
      <c r="M235" s="47"/>
      <c r="N235" s="47"/>
    </row>
    <row r="236" spans="3:14">
      <c r="C236" s="47"/>
      <c r="D236" s="47"/>
      <c r="E236" s="47"/>
      <c r="F236" s="47"/>
      <c r="G236" s="47"/>
      <c r="H236" s="47"/>
      <c r="I236" s="47"/>
      <c r="J236" s="47"/>
      <c r="K236" s="47"/>
      <c r="L236" s="47"/>
      <c r="M236" s="47"/>
      <c r="N236" s="47"/>
    </row>
    <row r="237" spans="3:14">
      <c r="C237" s="47"/>
      <c r="D237" s="47"/>
      <c r="E237" s="47"/>
      <c r="F237" s="47"/>
      <c r="G237" s="47"/>
      <c r="H237" s="47"/>
      <c r="I237" s="47"/>
      <c r="J237" s="47"/>
      <c r="K237" s="47"/>
      <c r="L237" s="47"/>
      <c r="M237" s="47"/>
      <c r="N237" s="47"/>
    </row>
    <row r="238" spans="3:14">
      <c r="C238" s="47"/>
      <c r="D238" s="47"/>
      <c r="E238" s="47"/>
      <c r="F238" s="47"/>
      <c r="G238" s="47"/>
      <c r="H238" s="47"/>
      <c r="I238" s="47"/>
      <c r="J238" s="47"/>
      <c r="K238" s="47"/>
      <c r="L238" s="47"/>
      <c r="M238" s="47"/>
      <c r="N238" s="47"/>
    </row>
    <row r="239" spans="3:14">
      <c r="C239" s="47"/>
      <c r="D239" s="47"/>
      <c r="E239" s="47"/>
      <c r="F239" s="47"/>
      <c r="G239" s="47"/>
      <c r="H239" s="47"/>
      <c r="I239" s="47"/>
      <c r="J239" s="47"/>
      <c r="K239" s="47"/>
      <c r="L239" s="47"/>
      <c r="M239" s="47"/>
      <c r="N239" s="47"/>
    </row>
    <row r="240" spans="3:14">
      <c r="C240" s="47"/>
      <c r="D240" s="47"/>
      <c r="E240" s="47"/>
      <c r="F240" s="47"/>
      <c r="G240" s="47"/>
      <c r="H240" s="47"/>
      <c r="I240" s="47"/>
      <c r="J240" s="47"/>
      <c r="K240" s="47"/>
      <c r="L240" s="47"/>
      <c r="M240" s="47"/>
      <c r="N240" s="47"/>
    </row>
    <row r="241" spans="3:14">
      <c r="C241" s="47"/>
      <c r="D241" s="47"/>
      <c r="E241" s="47"/>
      <c r="F241" s="47"/>
      <c r="G241" s="47"/>
      <c r="H241" s="47"/>
      <c r="I241" s="47"/>
      <c r="J241" s="47"/>
      <c r="K241" s="47"/>
      <c r="L241" s="47"/>
      <c r="M241" s="47"/>
      <c r="N241" s="47"/>
    </row>
    <row r="242" spans="3:14">
      <c r="C242" s="47"/>
      <c r="D242" s="47"/>
      <c r="E242" s="47"/>
      <c r="F242" s="47"/>
      <c r="G242" s="47"/>
      <c r="H242" s="47"/>
      <c r="I242" s="47"/>
      <c r="J242" s="47"/>
      <c r="K242" s="47"/>
      <c r="L242" s="47"/>
      <c r="M242" s="47"/>
      <c r="N242" s="47"/>
    </row>
    <row r="243" spans="3:14">
      <c r="C243" s="47"/>
      <c r="D243" s="47"/>
      <c r="E243" s="47"/>
      <c r="F243" s="47"/>
      <c r="G243" s="47"/>
      <c r="H243" s="47"/>
      <c r="I243" s="47"/>
      <c r="J243" s="47"/>
      <c r="K243" s="47"/>
      <c r="L243" s="47"/>
      <c r="M243" s="47"/>
      <c r="N243" s="47"/>
    </row>
    <row r="244" spans="3:14">
      <c r="C244" s="47"/>
      <c r="D244" s="47"/>
      <c r="E244" s="47"/>
      <c r="F244" s="47"/>
      <c r="G244" s="47"/>
      <c r="H244" s="47"/>
      <c r="I244" s="47"/>
      <c r="J244" s="47"/>
      <c r="K244" s="47"/>
      <c r="L244" s="47"/>
      <c r="M244" s="47"/>
      <c r="N244" s="47"/>
    </row>
    <row r="245" spans="3:14">
      <c r="C245" s="47"/>
      <c r="D245" s="47"/>
      <c r="E245" s="47"/>
      <c r="F245" s="47"/>
      <c r="G245" s="47"/>
      <c r="H245" s="47"/>
      <c r="I245" s="47"/>
      <c r="J245" s="47"/>
      <c r="K245" s="47"/>
      <c r="L245" s="47"/>
      <c r="M245" s="47"/>
      <c r="N245" s="47"/>
    </row>
    <row r="246" spans="3:14">
      <c r="C246" s="47"/>
      <c r="D246" s="47"/>
      <c r="E246" s="47"/>
      <c r="F246" s="47"/>
      <c r="G246" s="47"/>
      <c r="H246" s="47"/>
      <c r="I246" s="47"/>
      <c r="J246" s="47"/>
      <c r="K246" s="47"/>
      <c r="L246" s="47"/>
      <c r="M246" s="47"/>
      <c r="N246" s="47"/>
    </row>
    <row r="247" spans="3:14">
      <c r="C247" s="47"/>
      <c r="D247" s="47"/>
      <c r="E247" s="47"/>
      <c r="F247" s="47"/>
      <c r="G247" s="47"/>
      <c r="H247" s="47"/>
      <c r="I247" s="47"/>
      <c r="J247" s="47"/>
      <c r="K247" s="47"/>
      <c r="L247" s="47"/>
      <c r="M247" s="47"/>
      <c r="N247" s="47"/>
    </row>
    <row r="248" spans="3:14">
      <c r="C248" s="47"/>
      <c r="D248" s="47"/>
      <c r="E248" s="47"/>
      <c r="F248" s="47"/>
      <c r="G248" s="47"/>
      <c r="H248" s="47"/>
      <c r="I248" s="47"/>
      <c r="J248" s="47"/>
      <c r="K248" s="47"/>
      <c r="L248" s="47"/>
      <c r="M248" s="47"/>
      <c r="N248" s="47"/>
    </row>
    <row r="249" spans="3:14">
      <c r="C249" s="47"/>
      <c r="D249" s="47"/>
      <c r="E249" s="47"/>
      <c r="F249" s="47"/>
      <c r="G249" s="47"/>
      <c r="H249" s="47"/>
      <c r="I249" s="47"/>
      <c r="J249" s="47"/>
      <c r="K249" s="47"/>
      <c r="L249" s="47"/>
      <c r="M249" s="47"/>
      <c r="N249" s="47"/>
    </row>
    <row r="250" spans="3:14">
      <c r="C250" s="47"/>
      <c r="D250" s="47"/>
      <c r="E250" s="47"/>
      <c r="F250" s="47"/>
      <c r="G250" s="47"/>
      <c r="H250" s="47"/>
      <c r="I250" s="47"/>
      <c r="J250" s="47"/>
      <c r="K250" s="47"/>
      <c r="L250" s="47"/>
      <c r="M250" s="47"/>
      <c r="N250" s="47"/>
    </row>
    <row r="251" spans="3:14">
      <c r="C251" s="47"/>
      <c r="D251" s="47"/>
      <c r="E251" s="47"/>
      <c r="F251" s="47"/>
      <c r="G251" s="47"/>
      <c r="H251" s="47"/>
      <c r="I251" s="47"/>
      <c r="J251" s="47"/>
      <c r="K251" s="47"/>
      <c r="L251" s="47"/>
      <c r="M251" s="47"/>
      <c r="N251" s="47"/>
    </row>
    <row r="252" spans="3:14">
      <c r="C252" s="47"/>
      <c r="D252" s="47"/>
      <c r="E252" s="47"/>
      <c r="F252" s="47"/>
      <c r="G252" s="47"/>
      <c r="H252" s="47"/>
      <c r="I252" s="47"/>
      <c r="J252" s="47"/>
      <c r="K252" s="47"/>
      <c r="L252" s="47"/>
      <c r="M252" s="47"/>
      <c r="N252" s="47"/>
    </row>
    <row r="253" spans="3:14">
      <c r="C253" s="47"/>
      <c r="D253" s="47"/>
      <c r="E253" s="47"/>
      <c r="F253" s="47"/>
      <c r="G253" s="47"/>
      <c r="H253" s="47"/>
      <c r="I253" s="47"/>
      <c r="J253" s="47"/>
      <c r="K253" s="47"/>
      <c r="L253" s="47"/>
      <c r="M253" s="47"/>
      <c r="N253" s="47"/>
    </row>
    <row r="254" spans="3:14">
      <c r="C254" s="47"/>
      <c r="D254" s="47"/>
      <c r="E254" s="47"/>
      <c r="F254" s="47"/>
      <c r="G254" s="47"/>
      <c r="H254" s="47"/>
      <c r="I254" s="47"/>
      <c r="J254" s="47"/>
      <c r="K254" s="47"/>
      <c r="L254" s="47"/>
      <c r="M254" s="47"/>
      <c r="N254" s="47"/>
    </row>
    <row r="255" spans="3:14">
      <c r="C255" s="47"/>
      <c r="D255" s="47"/>
      <c r="E255" s="47"/>
      <c r="F255" s="47"/>
      <c r="G255" s="47"/>
      <c r="H255" s="47"/>
      <c r="I255" s="47"/>
      <c r="J255" s="47"/>
      <c r="K255" s="47"/>
      <c r="L255" s="47"/>
      <c r="M255" s="47"/>
      <c r="N255" s="47"/>
    </row>
    <row r="256" spans="3:14">
      <c r="C256" s="47"/>
      <c r="D256" s="47"/>
      <c r="E256" s="47"/>
      <c r="F256" s="47"/>
      <c r="G256" s="47"/>
      <c r="H256" s="47"/>
      <c r="I256" s="47"/>
      <c r="J256" s="47"/>
      <c r="K256" s="47"/>
      <c r="L256" s="47"/>
      <c r="M256" s="47"/>
      <c r="N256" s="47"/>
    </row>
    <row r="257" spans="3:14">
      <c r="C257" s="47"/>
      <c r="D257" s="47"/>
      <c r="E257" s="47"/>
      <c r="F257" s="47"/>
      <c r="G257" s="47"/>
      <c r="H257" s="47"/>
      <c r="I257" s="47"/>
      <c r="J257" s="47"/>
      <c r="K257" s="47"/>
      <c r="L257" s="47"/>
      <c r="M257" s="47"/>
      <c r="N257" s="47"/>
    </row>
    <row r="258" spans="3:14">
      <c r="C258" s="47"/>
      <c r="D258" s="47"/>
      <c r="E258" s="47"/>
      <c r="F258" s="47"/>
      <c r="G258" s="47"/>
      <c r="H258" s="47"/>
      <c r="I258" s="47"/>
      <c r="J258" s="47"/>
      <c r="K258" s="47"/>
      <c r="L258" s="47"/>
      <c r="M258" s="47"/>
      <c r="N258" s="47"/>
    </row>
    <row r="259" spans="3:14">
      <c r="C259" s="47"/>
      <c r="D259" s="47"/>
      <c r="E259" s="47"/>
      <c r="F259" s="47"/>
      <c r="G259" s="47"/>
      <c r="H259" s="47"/>
      <c r="I259" s="47"/>
      <c r="J259" s="47"/>
      <c r="K259" s="47"/>
      <c r="L259" s="47"/>
      <c r="M259" s="47"/>
      <c r="N259" s="47"/>
    </row>
    <row r="260" spans="3:14">
      <c r="C260" s="47"/>
      <c r="D260" s="47"/>
      <c r="E260" s="47"/>
      <c r="F260" s="47"/>
      <c r="G260" s="47"/>
      <c r="H260" s="47"/>
      <c r="I260" s="47"/>
      <c r="J260" s="47"/>
      <c r="K260" s="47"/>
      <c r="L260" s="47"/>
      <c r="M260" s="47"/>
      <c r="N260" s="47"/>
    </row>
    <row r="261" spans="3:14">
      <c r="C261" s="47"/>
      <c r="D261" s="47"/>
      <c r="E261" s="47"/>
      <c r="F261" s="47"/>
      <c r="G261" s="47"/>
      <c r="H261" s="47"/>
      <c r="I261" s="47"/>
      <c r="J261" s="47"/>
      <c r="K261" s="47"/>
      <c r="L261" s="47"/>
      <c r="M261" s="47"/>
      <c r="N261" s="47"/>
    </row>
    <row r="262" spans="3:14">
      <c r="C262" s="47"/>
      <c r="D262" s="47"/>
      <c r="E262" s="47"/>
      <c r="F262" s="47"/>
      <c r="G262" s="47"/>
      <c r="H262" s="47"/>
      <c r="I262" s="47"/>
      <c r="J262" s="47"/>
      <c r="K262" s="47"/>
      <c r="L262" s="47"/>
      <c r="M262" s="47"/>
      <c r="N262" s="47"/>
    </row>
    <row r="263" spans="3:14">
      <c r="C263" s="47"/>
      <c r="D263" s="47"/>
      <c r="E263" s="47"/>
      <c r="F263" s="47"/>
      <c r="G263" s="47"/>
      <c r="H263" s="47"/>
      <c r="I263" s="47"/>
      <c r="J263" s="47"/>
      <c r="K263" s="47"/>
      <c r="L263" s="47"/>
      <c r="M263" s="47"/>
      <c r="N263" s="47"/>
    </row>
    <row r="264" spans="3:14">
      <c r="C264" s="47"/>
      <c r="D264" s="47"/>
      <c r="E264" s="47"/>
      <c r="F264" s="47"/>
      <c r="G264" s="47"/>
      <c r="H264" s="47"/>
      <c r="I264" s="47"/>
      <c r="J264" s="47"/>
      <c r="K264" s="47"/>
      <c r="L264" s="47"/>
      <c r="M264" s="47"/>
      <c r="N264" s="47"/>
    </row>
    <row r="265" spans="3:14">
      <c r="C265" s="47"/>
      <c r="D265" s="47"/>
      <c r="E265" s="47"/>
      <c r="F265" s="47"/>
      <c r="G265" s="47"/>
      <c r="H265" s="47"/>
      <c r="I265" s="47"/>
      <c r="J265" s="47"/>
      <c r="K265" s="47"/>
      <c r="L265" s="47"/>
      <c r="M265" s="47"/>
      <c r="N265" s="47"/>
    </row>
    <row r="266" spans="3:14">
      <c r="C266" s="47"/>
      <c r="D266" s="47"/>
      <c r="E266" s="47"/>
      <c r="F266" s="47"/>
      <c r="G266" s="47"/>
      <c r="H266" s="47"/>
      <c r="I266" s="47"/>
      <c r="J266" s="47"/>
      <c r="K266" s="47"/>
      <c r="L266" s="47"/>
      <c r="M266" s="47"/>
      <c r="N266" s="47"/>
    </row>
    <row r="267" spans="3:14">
      <c r="C267" s="47"/>
      <c r="D267" s="47"/>
      <c r="E267" s="47"/>
      <c r="F267" s="47"/>
      <c r="G267" s="47"/>
      <c r="H267" s="47"/>
      <c r="I267" s="47"/>
      <c r="J267" s="47"/>
      <c r="K267" s="47"/>
      <c r="L267" s="47"/>
      <c r="M267" s="47"/>
      <c r="N267" s="47"/>
    </row>
    <row r="268" spans="3:14">
      <c r="C268" s="47"/>
      <c r="D268" s="47"/>
      <c r="E268" s="47"/>
      <c r="F268" s="47"/>
      <c r="G268" s="47"/>
      <c r="H268" s="47"/>
      <c r="I268" s="47"/>
      <c r="J268" s="47"/>
      <c r="K268" s="47"/>
      <c r="L268" s="47"/>
      <c r="M268" s="47"/>
      <c r="N268" s="47"/>
    </row>
    <row r="269" spans="3:14">
      <c r="C269" s="47"/>
      <c r="D269" s="47"/>
      <c r="E269" s="47"/>
      <c r="F269" s="47"/>
      <c r="G269" s="47"/>
      <c r="H269" s="47"/>
      <c r="I269" s="47"/>
      <c r="J269" s="47"/>
      <c r="K269" s="47"/>
      <c r="L269" s="47"/>
      <c r="M269" s="47"/>
      <c r="N269" s="47"/>
    </row>
    <row r="270" spans="3:14">
      <c r="C270" s="47"/>
      <c r="D270" s="47"/>
      <c r="E270" s="47"/>
      <c r="F270" s="47"/>
      <c r="G270" s="47"/>
      <c r="H270" s="47"/>
      <c r="I270" s="47"/>
      <c r="J270" s="47"/>
      <c r="K270" s="47"/>
      <c r="L270" s="47"/>
      <c r="M270" s="47"/>
      <c r="N270" s="47"/>
    </row>
    <row r="271" spans="3:14">
      <c r="C271" s="47"/>
      <c r="D271" s="47"/>
      <c r="E271" s="47"/>
      <c r="F271" s="47"/>
      <c r="G271" s="47"/>
      <c r="H271" s="47"/>
      <c r="I271" s="47"/>
      <c r="J271" s="47"/>
      <c r="K271" s="47"/>
      <c r="L271" s="47"/>
      <c r="M271" s="47"/>
      <c r="N271" s="47"/>
    </row>
    <row r="272" spans="3:14">
      <c r="C272" s="47"/>
      <c r="D272" s="47"/>
      <c r="E272" s="47"/>
      <c r="F272" s="47"/>
      <c r="G272" s="47"/>
      <c r="H272" s="47"/>
      <c r="I272" s="47"/>
      <c r="J272" s="47"/>
      <c r="K272" s="47"/>
      <c r="L272" s="47"/>
      <c r="M272" s="47"/>
      <c r="N272" s="47"/>
    </row>
    <row r="273" spans="3:14">
      <c r="C273" s="47"/>
      <c r="D273" s="47"/>
      <c r="E273" s="47"/>
      <c r="F273" s="47"/>
      <c r="G273" s="47"/>
      <c r="H273" s="47"/>
      <c r="I273" s="47"/>
      <c r="J273" s="47"/>
      <c r="K273" s="47"/>
      <c r="L273" s="47"/>
      <c r="M273" s="47"/>
      <c r="N273" s="47"/>
    </row>
    <row r="291" spans="1:14" ht="11.45" customHeight="1">
      <c r="F291" s="47"/>
      <c r="H291" s="59"/>
      <c r="I291" s="47"/>
      <c r="J291" s="47"/>
      <c r="K291" s="47"/>
      <c r="L291" s="47"/>
      <c r="M291" s="47"/>
      <c r="N291" s="47"/>
    </row>
    <row r="292" spans="1:14" ht="11.45" customHeight="1">
      <c r="F292" s="47"/>
      <c r="H292" s="59"/>
      <c r="I292" s="47"/>
      <c r="J292" s="47"/>
      <c r="K292" s="47"/>
      <c r="L292" s="47"/>
      <c r="M292" s="47"/>
      <c r="N292" s="47"/>
    </row>
    <row r="293" spans="1:14" ht="11.45" customHeight="1">
      <c r="F293" s="45"/>
      <c r="H293" s="59"/>
      <c r="I293" s="47"/>
      <c r="J293" s="47"/>
      <c r="K293" s="47"/>
      <c r="L293" s="47"/>
      <c r="M293" s="47"/>
      <c r="N293" s="47"/>
    </row>
    <row r="294" spans="1:14" ht="11.45" customHeight="1">
      <c r="H294" s="59"/>
      <c r="I294" s="47"/>
      <c r="J294" s="47"/>
      <c r="K294" s="47"/>
      <c r="L294" s="47"/>
      <c r="M294" s="47"/>
      <c r="N294" s="47"/>
    </row>
    <row r="295" spans="1:14">
      <c r="G295" s="59"/>
      <c r="H295" s="59"/>
      <c r="I295" s="47"/>
      <c r="J295" s="47"/>
      <c r="K295" s="47"/>
      <c r="L295" s="47"/>
      <c r="M295" s="47"/>
      <c r="N295" s="47"/>
    </row>
    <row r="296" spans="1:14" ht="12.75">
      <c r="G296"/>
      <c r="I296" s="47"/>
      <c r="J296" s="47"/>
      <c r="K296" s="47"/>
      <c r="L296" s="47"/>
      <c r="M296" s="47"/>
      <c r="N296" s="47"/>
    </row>
    <row r="297" spans="1:14" ht="12.75">
      <c r="G297"/>
      <c r="I297" s="47"/>
      <c r="J297" s="47"/>
      <c r="K297" s="47"/>
      <c r="L297" s="47"/>
      <c r="M297" s="47"/>
      <c r="N297" s="47"/>
    </row>
    <row r="298" spans="1:14" ht="12.75">
      <c r="G298"/>
      <c r="I298" s="47"/>
      <c r="J298" s="47"/>
      <c r="K298" s="47"/>
      <c r="L298" s="47"/>
      <c r="M298" s="47"/>
      <c r="N298" s="47"/>
    </row>
    <row r="299" spans="1:14" ht="12.75">
      <c r="G299"/>
      <c r="I299" s="47"/>
      <c r="J299" s="47"/>
      <c r="K299" s="47"/>
      <c r="L299" s="47"/>
      <c r="M299" s="47"/>
      <c r="N299" s="47"/>
    </row>
    <row r="300" spans="1:14" ht="12.75">
      <c r="G300"/>
      <c r="I300" s="47"/>
      <c r="J300" s="47"/>
      <c r="K300" s="47"/>
      <c r="L300" s="47"/>
      <c r="M300" s="47"/>
      <c r="N300" s="47"/>
    </row>
    <row r="301" spans="1:14" ht="12.75">
      <c r="G301"/>
      <c r="I301" s="47"/>
      <c r="J301" s="47"/>
      <c r="K301" s="47"/>
      <c r="L301" s="47"/>
      <c r="M301" s="47"/>
      <c r="N301" s="47"/>
    </row>
    <row r="302" spans="1:14" ht="12.75">
      <c r="G302"/>
      <c r="I302" s="47"/>
      <c r="J302" s="47"/>
      <c r="K302" s="47"/>
      <c r="L302" s="47"/>
      <c r="M302" s="47"/>
      <c r="N302" s="47"/>
    </row>
    <row r="303" spans="1:14" ht="12.75">
      <c r="A303"/>
      <c r="B303"/>
      <c r="C303"/>
      <c r="D303"/>
      <c r="E303"/>
      <c r="F303"/>
      <c r="G303"/>
      <c r="I303" s="47"/>
      <c r="J303" s="47"/>
      <c r="K303" s="47"/>
      <c r="L303" s="47"/>
      <c r="M303" s="47"/>
      <c r="N303" s="47"/>
    </row>
    <row r="304" spans="1:14" ht="12.75">
      <c r="A304"/>
      <c r="B304"/>
      <c r="C304"/>
      <c r="D304"/>
      <c r="E304"/>
      <c r="F304"/>
      <c r="G304"/>
      <c r="I304" s="47"/>
      <c r="J304" s="47"/>
      <c r="K304" s="47"/>
      <c r="L304" s="47"/>
      <c r="M304" s="47"/>
      <c r="N304" s="47"/>
    </row>
    <row r="305" spans="1:28" ht="11.45" customHeight="1">
      <c r="A305" s="70"/>
      <c r="B305" s="70"/>
      <c r="C305" s="56"/>
      <c r="D305" s="56"/>
      <c r="E305" s="56"/>
      <c r="F305" s="71"/>
      <c r="H305" s="59"/>
      <c r="I305" s="47"/>
      <c r="J305" s="47"/>
      <c r="K305" s="47"/>
      <c r="L305" s="47"/>
      <c r="M305" s="47"/>
      <c r="N305" s="47"/>
      <c r="O305" s="47"/>
    </row>
    <row r="306" spans="1:28" ht="11.45" customHeight="1">
      <c r="A306" s="72"/>
      <c r="B306" s="72"/>
      <c r="C306" s="70"/>
      <c r="D306" s="70"/>
      <c r="E306" s="70"/>
      <c r="F306" s="73"/>
      <c r="G306" s="73"/>
      <c r="H306" s="73"/>
      <c r="I306" s="73"/>
      <c r="J306" s="73"/>
      <c r="K306" s="73"/>
      <c r="L306" s="73"/>
      <c r="M306" s="73"/>
      <c r="N306" s="73"/>
      <c r="O306" s="73"/>
      <c r="P306" s="73"/>
      <c r="Q306" s="73"/>
      <c r="R306" s="73"/>
      <c r="S306" s="73"/>
      <c r="T306" s="73"/>
      <c r="U306" s="73"/>
      <c r="V306" s="73"/>
      <c r="W306" s="73"/>
      <c r="X306" s="73"/>
      <c r="Y306" s="73"/>
      <c r="Z306" s="73"/>
      <c r="AA306" s="73"/>
      <c r="AB306" s="73"/>
    </row>
    <row r="307" spans="1:28" ht="11.45" customHeight="1">
      <c r="A307" s="72"/>
      <c r="B307" s="72"/>
      <c r="C307" s="70"/>
      <c r="D307" s="70"/>
      <c r="E307" s="70"/>
      <c r="F307" s="74"/>
      <c r="G307" s="74"/>
      <c r="H307" s="74"/>
      <c r="I307" s="74"/>
      <c r="J307" s="74"/>
      <c r="K307" s="74"/>
      <c r="L307" s="74"/>
      <c r="M307" s="74"/>
      <c r="N307" s="74"/>
      <c r="O307" s="74"/>
      <c r="P307" s="74"/>
      <c r="Q307" s="74"/>
      <c r="R307" s="74"/>
      <c r="S307" s="74"/>
      <c r="T307" s="74"/>
      <c r="U307" s="74"/>
      <c r="V307" s="74"/>
      <c r="W307" s="74"/>
      <c r="X307" s="74"/>
      <c r="Y307" s="74"/>
      <c r="Z307" s="74"/>
      <c r="AA307" s="74"/>
      <c r="AB307" s="74"/>
    </row>
    <row r="308" spans="1:28" ht="11.45" customHeight="1">
      <c r="A308" s="70"/>
      <c r="B308" s="70"/>
      <c r="C308" s="56"/>
      <c r="D308" s="56"/>
      <c r="E308" s="56"/>
      <c r="F308" s="71"/>
      <c r="H308" s="59"/>
      <c r="I308" s="47"/>
      <c r="J308" s="47"/>
      <c r="K308" s="47"/>
      <c r="L308" s="47"/>
      <c r="M308" s="47"/>
      <c r="N308" s="47"/>
      <c r="O308" s="47"/>
    </row>
    <row r="309" spans="1:28" ht="11.45" customHeight="1">
      <c r="A309" s="70"/>
      <c r="B309" s="70"/>
      <c r="C309" s="56"/>
      <c r="D309" s="56"/>
      <c r="E309" s="56"/>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spans="1:28" ht="11.45" customHeight="1">
      <c r="A310" s="70"/>
      <c r="B310" s="70"/>
      <c r="C310" s="70"/>
      <c r="D310" s="70"/>
      <c r="E310" s="70"/>
      <c r="F310" s="73"/>
      <c r="G310" s="73"/>
      <c r="H310" s="73"/>
      <c r="I310" s="73"/>
      <c r="J310" s="73"/>
      <c r="K310" s="73"/>
      <c r="L310" s="73"/>
      <c r="M310" s="73"/>
      <c r="N310" s="73"/>
      <c r="O310" s="73"/>
      <c r="P310" s="73"/>
      <c r="Q310" s="73"/>
      <c r="R310" s="73"/>
      <c r="S310" s="73"/>
      <c r="T310" s="73"/>
      <c r="U310" s="73"/>
      <c r="V310" s="73"/>
      <c r="W310" s="73"/>
      <c r="X310" s="73"/>
      <c r="Y310" s="73"/>
      <c r="Z310" s="73"/>
      <c r="AA310" s="73"/>
      <c r="AB310" s="73"/>
    </row>
    <row r="311" spans="1:28" ht="11.45" customHeight="1">
      <c r="A311" s="70"/>
      <c r="B311" s="70"/>
      <c r="C311" s="56"/>
      <c r="D311" s="56"/>
      <c r="E311" s="56"/>
      <c r="F311" s="72"/>
      <c r="G311" s="77"/>
      <c r="H311" s="77"/>
      <c r="I311" s="77"/>
      <c r="J311" s="77"/>
      <c r="K311" s="77"/>
      <c r="L311" s="77"/>
      <c r="M311" s="77"/>
      <c r="N311" s="77"/>
      <c r="O311" s="77"/>
      <c r="P311" s="77"/>
      <c r="Q311" s="77"/>
      <c r="R311" s="77"/>
      <c r="S311" s="77"/>
      <c r="T311" s="77"/>
      <c r="U311" s="77"/>
      <c r="V311" s="77"/>
      <c r="W311" s="77"/>
      <c r="X311" s="77"/>
      <c r="Y311" s="77"/>
      <c r="Z311" s="77"/>
      <c r="AA311" s="77"/>
      <c r="AB311" s="77"/>
    </row>
    <row r="312" spans="1:28" ht="11.45" customHeight="1">
      <c r="A312" s="70"/>
      <c r="B312" s="70"/>
      <c r="C312" s="70"/>
      <c r="D312" s="70"/>
      <c r="E312" s="70"/>
      <c r="F312" s="72"/>
      <c r="G312" s="77"/>
      <c r="H312" s="77"/>
      <c r="I312" s="77"/>
      <c r="J312" s="77"/>
      <c r="K312" s="77"/>
      <c r="L312" s="77"/>
      <c r="M312" s="77"/>
      <c r="N312" s="77"/>
      <c r="O312" s="77"/>
      <c r="P312" s="77"/>
      <c r="Q312" s="77"/>
      <c r="R312" s="77"/>
      <c r="S312" s="77"/>
      <c r="T312" s="77"/>
      <c r="U312" s="77"/>
      <c r="V312" s="77"/>
      <c r="W312" s="77"/>
      <c r="X312" s="77"/>
      <c r="Y312" s="77"/>
      <c r="Z312" s="77"/>
      <c r="AA312" s="77"/>
      <c r="AB312" s="77"/>
    </row>
    <row r="313" spans="1:28" ht="11.45" customHeight="1">
      <c r="A313" s="70"/>
      <c r="B313" s="70"/>
      <c r="C313" s="70"/>
      <c r="D313" s="70"/>
      <c r="E313" s="70"/>
      <c r="F313" s="72"/>
      <c r="G313" s="77"/>
      <c r="H313" s="77"/>
      <c r="I313" s="77"/>
      <c r="J313" s="77"/>
      <c r="K313" s="77"/>
      <c r="L313" s="77"/>
      <c r="M313" s="77"/>
      <c r="N313" s="77"/>
      <c r="O313" s="77"/>
      <c r="P313" s="77"/>
      <c r="Q313" s="77"/>
      <c r="R313" s="77"/>
      <c r="S313" s="77"/>
      <c r="T313" s="77"/>
      <c r="U313" s="77"/>
      <c r="V313" s="77"/>
      <c r="W313" s="77"/>
      <c r="X313" s="77"/>
      <c r="Y313" s="77"/>
      <c r="Z313" s="77"/>
      <c r="AA313" s="77"/>
      <c r="AB313" s="77"/>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39" right="0.24" top="1" bottom="1" header="0.5" footer="0.5"/>
  <pageSetup scale="62"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E44"/>
  <sheetViews>
    <sheetView workbookViewId="0">
      <selection activeCell="A13" sqref="A13"/>
    </sheetView>
  </sheetViews>
  <sheetFormatPr defaultColWidth="8.7109375" defaultRowHeight="12.75"/>
  <cols>
    <col min="1" max="1" width="27.28515625" style="163" customWidth="1"/>
    <col min="2" max="2" width="2.140625" style="163" customWidth="1"/>
    <col min="3" max="4" width="9" style="163" bestFit="1" customWidth="1"/>
    <col min="5" max="5" width="9.85546875" style="163" customWidth="1"/>
    <col min="6" max="6" width="9" style="163" bestFit="1" customWidth="1"/>
    <col min="7" max="7" width="10.85546875" style="163" customWidth="1"/>
    <col min="8" max="8" width="10.28515625" style="163" customWidth="1"/>
    <col min="9" max="22" width="9" style="163" bestFit="1" customWidth="1"/>
    <col min="23" max="23" width="7.42578125" style="163" bestFit="1" customWidth="1"/>
    <col min="24" max="24" width="7.140625" style="163" bestFit="1" customWidth="1"/>
    <col min="25" max="25" width="6.7109375" style="163" bestFit="1" customWidth="1"/>
    <col min="26" max="27" width="7.140625" style="163" bestFit="1" customWidth="1"/>
    <col min="28" max="31" width="8.7109375" style="163" customWidth="1"/>
    <col min="32" max="16384" width="8.7109375" style="137"/>
  </cols>
  <sheetData>
    <row r="1" spans="1:31" ht="20.25">
      <c r="A1" s="634" t="str">
        <f>'Project Assumptions'!$A$2</f>
        <v>CALEDONIA, Lowndes County, MS</v>
      </c>
      <c r="B1" s="635"/>
      <c r="C1" s="635"/>
      <c r="D1" s="636"/>
    </row>
    <row r="2" spans="1:31">
      <c r="A2" s="757" t="s">
        <v>381</v>
      </c>
      <c r="B2" s="638"/>
      <c r="C2" s="638"/>
      <c r="D2" s="639"/>
    </row>
    <row r="3" spans="1:31" s="103" customFormat="1" ht="11.25" customHeight="1">
      <c r="A3" s="211"/>
      <c r="B3" s="211"/>
      <c r="C3" s="574"/>
      <c r="D3" s="574"/>
      <c r="E3" s="574"/>
      <c r="F3" s="574"/>
      <c r="G3" s="574"/>
      <c r="H3" s="574"/>
      <c r="I3" s="574"/>
      <c r="J3" s="574"/>
      <c r="K3" s="574"/>
      <c r="L3" s="574"/>
      <c r="M3" s="574"/>
      <c r="N3" s="574"/>
      <c r="O3" s="574"/>
      <c r="P3" s="574"/>
      <c r="Q3" s="211"/>
      <c r="R3" s="211"/>
      <c r="S3" s="211"/>
      <c r="T3" s="211"/>
      <c r="U3" s="211"/>
      <c r="V3" s="211"/>
      <c r="W3" s="211"/>
      <c r="X3" s="211"/>
      <c r="Y3" s="211"/>
      <c r="Z3" s="211"/>
      <c r="AA3" s="211"/>
      <c r="AB3" s="211"/>
      <c r="AC3" s="211"/>
      <c r="AD3" s="211"/>
      <c r="AE3" s="211"/>
    </row>
    <row r="4" spans="1:31" s="98" customFormat="1" ht="11.25" customHeight="1">
      <c r="A4" s="170"/>
      <c r="B4" s="170"/>
      <c r="C4" s="184">
        <f>Operations!C3</f>
        <v>1</v>
      </c>
      <c r="D4" s="184">
        <f>Operations!D3</f>
        <v>2</v>
      </c>
      <c r="E4" s="184">
        <f>Operations!E3</f>
        <v>3</v>
      </c>
      <c r="F4" s="184">
        <f>Operations!F3</f>
        <v>4</v>
      </c>
      <c r="G4" s="184">
        <f>Operations!G3</f>
        <v>5</v>
      </c>
      <c r="H4" s="184">
        <f>Operations!H3</f>
        <v>6</v>
      </c>
      <c r="I4" s="184">
        <f>Operations!I3</f>
        <v>7</v>
      </c>
      <c r="J4" s="184">
        <f>Operations!J3</f>
        <v>8</v>
      </c>
      <c r="K4" s="184">
        <f>Operations!K3</f>
        <v>9</v>
      </c>
      <c r="L4" s="184">
        <f>Operations!L3</f>
        <v>10</v>
      </c>
      <c r="M4" s="184">
        <f>Operations!M3</f>
        <v>11</v>
      </c>
      <c r="N4" s="184">
        <f>Operations!N3</f>
        <v>12</v>
      </c>
      <c r="O4" s="184">
        <f>Operations!O3</f>
        <v>13</v>
      </c>
      <c r="P4" s="184">
        <f>Operations!P3</f>
        <v>14</v>
      </c>
      <c r="Q4" s="184">
        <f>Operations!Q3</f>
        <v>15</v>
      </c>
      <c r="R4" s="184">
        <f>Operations!R3</f>
        <v>16</v>
      </c>
      <c r="S4" s="184">
        <f>Operations!S3</f>
        <v>17</v>
      </c>
      <c r="T4" s="184">
        <f>Operations!T3</f>
        <v>18</v>
      </c>
      <c r="U4" s="184">
        <f>Operations!U3</f>
        <v>19</v>
      </c>
      <c r="V4" s="184">
        <f>Operations!V3</f>
        <v>20</v>
      </c>
      <c r="W4" s="184">
        <f>Operations!W3</f>
        <v>21</v>
      </c>
      <c r="X4" s="184"/>
      <c r="Y4" s="184"/>
      <c r="Z4" s="184"/>
      <c r="AA4" s="188"/>
      <c r="AB4" s="170"/>
      <c r="AC4" s="170"/>
      <c r="AD4" s="170"/>
      <c r="AE4" s="170"/>
    </row>
    <row r="5" spans="1:31" s="98" customFormat="1" ht="11.25" customHeight="1">
      <c r="A5" s="640"/>
      <c r="B5" s="641"/>
      <c r="C5" s="759">
        <f>+YEAR('Project Assumptions'!$I$17)</f>
        <v>1999</v>
      </c>
      <c r="D5" s="759">
        <f t="shared" ref="D5:V5" si="0">C5+1</f>
        <v>2000</v>
      </c>
      <c r="E5" s="759">
        <f t="shared" si="0"/>
        <v>2001</v>
      </c>
      <c r="F5" s="759">
        <f t="shared" si="0"/>
        <v>2002</v>
      </c>
      <c r="G5" s="759">
        <f t="shared" si="0"/>
        <v>2003</v>
      </c>
      <c r="H5" s="759">
        <f t="shared" si="0"/>
        <v>2004</v>
      </c>
      <c r="I5" s="759">
        <f t="shared" si="0"/>
        <v>2005</v>
      </c>
      <c r="J5" s="759">
        <f t="shared" si="0"/>
        <v>2006</v>
      </c>
      <c r="K5" s="759">
        <f t="shared" si="0"/>
        <v>2007</v>
      </c>
      <c r="L5" s="759">
        <f t="shared" si="0"/>
        <v>2008</v>
      </c>
      <c r="M5" s="759">
        <f t="shared" si="0"/>
        <v>2009</v>
      </c>
      <c r="N5" s="759">
        <f t="shared" si="0"/>
        <v>2010</v>
      </c>
      <c r="O5" s="759">
        <f t="shared" si="0"/>
        <v>2011</v>
      </c>
      <c r="P5" s="759">
        <f t="shared" si="0"/>
        <v>2012</v>
      </c>
      <c r="Q5" s="759">
        <f t="shared" si="0"/>
        <v>2013</v>
      </c>
      <c r="R5" s="759">
        <f t="shared" si="0"/>
        <v>2014</v>
      </c>
      <c r="S5" s="759">
        <f t="shared" si="0"/>
        <v>2015</v>
      </c>
      <c r="T5" s="759">
        <f t="shared" si="0"/>
        <v>2016</v>
      </c>
      <c r="U5" s="759">
        <f t="shared" si="0"/>
        <v>2017</v>
      </c>
      <c r="V5" s="759">
        <f t="shared" si="0"/>
        <v>2018</v>
      </c>
      <c r="W5" s="760">
        <f>V5+1</f>
        <v>2019</v>
      </c>
      <c r="X5" s="189"/>
      <c r="Y5" s="189"/>
      <c r="Z5" s="189"/>
      <c r="AA5" s="189"/>
      <c r="AB5" s="170"/>
      <c r="AC5" s="170"/>
      <c r="AD5" s="170"/>
      <c r="AE5" s="170"/>
    </row>
    <row r="6" spans="1:31" s="98" customFormat="1" ht="11.25" customHeight="1">
      <c r="A6" s="779" t="s">
        <v>253</v>
      </c>
      <c r="B6" s="179"/>
      <c r="C6"/>
      <c r="D6" s="488"/>
      <c r="E6" s="488"/>
      <c r="F6" s="488"/>
      <c r="G6" s="488"/>
      <c r="H6" s="488"/>
      <c r="I6" s="488"/>
      <c r="J6" s="488"/>
      <c r="K6" s="488"/>
      <c r="L6" s="488"/>
      <c r="M6" s="488"/>
      <c r="N6" s="488"/>
      <c r="O6" s="488"/>
      <c r="P6" s="488"/>
      <c r="Q6" s="488"/>
      <c r="R6" s="488"/>
      <c r="S6" s="488"/>
      <c r="T6" s="488"/>
      <c r="U6" s="488"/>
      <c r="V6" s="488"/>
      <c r="W6" s="1012"/>
      <c r="X6" s="487"/>
      <c r="Y6" s="170"/>
      <c r="Z6" s="170"/>
      <c r="AA6" s="170"/>
      <c r="AB6" s="170"/>
      <c r="AC6" s="170"/>
      <c r="AD6" s="170"/>
      <c r="AE6" s="170"/>
    </row>
    <row r="7" spans="1:31" s="98" customFormat="1" ht="11.25" customHeight="1">
      <c r="A7" s="779" t="s">
        <v>125</v>
      </c>
      <c r="B7" s="179"/>
      <c r="C7" s="428">
        <f>StartsYear</f>
        <v>120</v>
      </c>
      <c r="D7" s="428">
        <f t="shared" ref="D7:V7" si="1">StartsYear</f>
        <v>120</v>
      </c>
      <c r="E7" s="428">
        <f t="shared" si="1"/>
        <v>120</v>
      </c>
      <c r="F7" s="428">
        <f t="shared" si="1"/>
        <v>120</v>
      </c>
      <c r="G7" s="428">
        <f t="shared" si="1"/>
        <v>120</v>
      </c>
      <c r="H7" s="428">
        <f t="shared" si="1"/>
        <v>120</v>
      </c>
      <c r="I7" s="428">
        <f t="shared" si="1"/>
        <v>120</v>
      </c>
      <c r="J7" s="428">
        <f t="shared" si="1"/>
        <v>120</v>
      </c>
      <c r="K7" s="428">
        <f t="shared" si="1"/>
        <v>120</v>
      </c>
      <c r="L7" s="428">
        <f t="shared" si="1"/>
        <v>120</v>
      </c>
      <c r="M7" s="428">
        <f t="shared" si="1"/>
        <v>120</v>
      </c>
      <c r="N7" s="428">
        <f t="shared" si="1"/>
        <v>120</v>
      </c>
      <c r="O7" s="428">
        <f t="shared" si="1"/>
        <v>120</v>
      </c>
      <c r="P7" s="428">
        <f t="shared" si="1"/>
        <v>120</v>
      </c>
      <c r="Q7" s="428">
        <f t="shared" si="1"/>
        <v>120</v>
      </c>
      <c r="R7" s="428">
        <f t="shared" si="1"/>
        <v>120</v>
      </c>
      <c r="S7" s="428">
        <f t="shared" si="1"/>
        <v>120</v>
      </c>
      <c r="T7" s="428">
        <f t="shared" si="1"/>
        <v>120</v>
      </c>
      <c r="U7" s="428">
        <f t="shared" si="1"/>
        <v>120</v>
      </c>
      <c r="V7" s="428">
        <f t="shared" si="1"/>
        <v>120</v>
      </c>
      <c r="W7" s="958" t="s">
        <v>696</v>
      </c>
      <c r="X7" s="443"/>
      <c r="Y7" s="443"/>
      <c r="Z7" s="443"/>
      <c r="AA7" s="443"/>
      <c r="AB7" s="170"/>
      <c r="AC7" s="170"/>
      <c r="AD7" s="170"/>
      <c r="AE7" s="170"/>
    </row>
    <row r="8" spans="1:31" s="98" customFormat="1" ht="11.25" customHeight="1">
      <c r="A8" s="779" t="s">
        <v>126</v>
      </c>
      <c r="B8" s="898"/>
      <c r="C8" s="428">
        <f>C7</f>
        <v>120</v>
      </c>
      <c r="D8" s="428">
        <f>C8+D7</f>
        <v>240</v>
      </c>
      <c r="E8" s="428">
        <f t="shared" ref="E8:W8" si="2">D8+E7</f>
        <v>360</v>
      </c>
      <c r="F8" s="428">
        <f t="shared" si="2"/>
        <v>480</v>
      </c>
      <c r="G8" s="428">
        <f t="shared" si="2"/>
        <v>600</v>
      </c>
      <c r="H8" s="428">
        <f t="shared" si="2"/>
        <v>720</v>
      </c>
      <c r="I8" s="428">
        <f t="shared" si="2"/>
        <v>840</v>
      </c>
      <c r="J8" s="428">
        <f t="shared" si="2"/>
        <v>960</v>
      </c>
      <c r="K8" s="428">
        <f t="shared" si="2"/>
        <v>1080</v>
      </c>
      <c r="L8" s="428">
        <f t="shared" si="2"/>
        <v>1200</v>
      </c>
      <c r="M8" s="428">
        <f t="shared" si="2"/>
        <v>1320</v>
      </c>
      <c r="N8" s="428">
        <f t="shared" si="2"/>
        <v>1440</v>
      </c>
      <c r="O8" s="428">
        <f t="shared" si="2"/>
        <v>1560</v>
      </c>
      <c r="P8" s="428">
        <f t="shared" si="2"/>
        <v>1680</v>
      </c>
      <c r="Q8" s="428">
        <f t="shared" si="2"/>
        <v>1800</v>
      </c>
      <c r="R8" s="428">
        <f t="shared" si="2"/>
        <v>1920</v>
      </c>
      <c r="S8" s="428">
        <f t="shared" si="2"/>
        <v>2040</v>
      </c>
      <c r="T8" s="428">
        <f t="shared" si="2"/>
        <v>2160</v>
      </c>
      <c r="U8" s="428">
        <f t="shared" si="2"/>
        <v>2280</v>
      </c>
      <c r="V8" s="428">
        <f t="shared" si="2"/>
        <v>2400</v>
      </c>
      <c r="W8" s="958" t="e">
        <f t="shared" si="2"/>
        <v>#VALUE!</v>
      </c>
      <c r="X8" s="443"/>
      <c r="Y8" s="443"/>
      <c r="Z8" s="443"/>
      <c r="AA8" s="443"/>
      <c r="AB8" s="170"/>
      <c r="AC8" s="170"/>
      <c r="AD8" s="170"/>
      <c r="AE8" s="170"/>
    </row>
    <row r="9" spans="1:31" s="98" customFormat="1" ht="11.25" customHeight="1">
      <c r="A9" s="779"/>
      <c r="B9" s="898"/>
      <c r="C9" s="428"/>
      <c r="D9" s="428"/>
      <c r="E9" s="428"/>
      <c r="F9" s="428"/>
      <c r="G9" s="428"/>
      <c r="H9" s="428"/>
      <c r="I9" s="428"/>
      <c r="J9" s="428"/>
      <c r="K9" s="428"/>
      <c r="L9" s="428"/>
      <c r="M9" s="428"/>
      <c r="N9" s="428"/>
      <c r="O9" s="428"/>
      <c r="P9" s="428"/>
      <c r="Q9" s="428"/>
      <c r="R9" s="428"/>
      <c r="S9" s="428"/>
      <c r="T9" s="428"/>
      <c r="U9" s="428"/>
      <c r="V9" s="428"/>
      <c r="W9" s="958"/>
      <c r="X9" s="443"/>
      <c r="Y9" s="443"/>
      <c r="Z9" s="443"/>
      <c r="AA9" s="443"/>
      <c r="AB9" s="170"/>
      <c r="AC9" s="170"/>
      <c r="AD9" s="170"/>
      <c r="AE9" s="170"/>
    </row>
    <row r="10" spans="1:31" s="98" customFormat="1" ht="11.25" customHeight="1">
      <c r="A10" s="779"/>
      <c r="B10" s="179"/>
      <c r="C10" s="179"/>
      <c r="D10" s="179"/>
      <c r="E10" s="179"/>
      <c r="F10" s="179"/>
      <c r="G10" s="179"/>
      <c r="H10" s="179"/>
      <c r="I10" s="179"/>
      <c r="J10" s="179"/>
      <c r="K10" s="179"/>
      <c r="L10" s="179"/>
      <c r="M10" s="179"/>
      <c r="N10" s="179"/>
      <c r="O10" s="179"/>
      <c r="P10" s="179"/>
      <c r="Q10" s="179"/>
      <c r="R10" s="179"/>
      <c r="S10" s="179"/>
      <c r="T10" s="179"/>
      <c r="U10" s="179"/>
      <c r="V10" s="179"/>
      <c r="W10" s="782"/>
      <c r="X10" s="170"/>
      <c r="Y10" s="170"/>
      <c r="Z10" s="170"/>
      <c r="AA10" s="170"/>
      <c r="AB10" s="170"/>
      <c r="AC10" s="170"/>
      <c r="AD10" s="170"/>
      <c r="AE10" s="170"/>
    </row>
    <row r="11" spans="1:31" s="98" customFormat="1" ht="11.25" customHeight="1">
      <c r="A11" s="779" t="s">
        <v>121</v>
      </c>
      <c r="B11" s="179"/>
      <c r="C11" s="428">
        <f>'Book Income Statement'!D32</f>
        <v>1349.28</v>
      </c>
      <c r="D11" s="428">
        <f>'Book Income Statement'!E32</f>
        <v>1389.7584000000002</v>
      </c>
      <c r="E11" s="428">
        <f>'Book Income Statement'!F32</f>
        <v>1431.4511520000001</v>
      </c>
      <c r="F11" s="428">
        <f>'Book Income Statement'!G32</f>
        <v>1474.3946865600001</v>
      </c>
      <c r="G11" s="428">
        <f>'Book Income Statement'!H32</f>
        <v>1518.6265271567997</v>
      </c>
      <c r="H11" s="428">
        <f>'Book Income Statement'!I32</f>
        <v>1564.1853229715036</v>
      </c>
      <c r="I11" s="428">
        <f>'Book Income Statement'!J32</f>
        <v>1611.1108826606489</v>
      </c>
      <c r="J11" s="428">
        <f>'Book Income Statement'!K32</f>
        <v>1659.4442091404687</v>
      </c>
      <c r="K11" s="428">
        <f>'Book Income Statement'!L32</f>
        <v>1709.2275354146825</v>
      </c>
      <c r="L11" s="428">
        <f>'Book Income Statement'!M32</f>
        <v>1760.504361477123</v>
      </c>
      <c r="M11" s="428">
        <f>'Book Income Statement'!N32</f>
        <v>1813.3194923214364</v>
      </c>
      <c r="N11" s="428">
        <f>'Book Income Statement'!O32</f>
        <v>1867.71907709108</v>
      </c>
      <c r="O11" s="428">
        <f>'Book Income Statement'!P32</f>
        <v>1923.7506494038118</v>
      </c>
      <c r="P11" s="428">
        <f>'Book Income Statement'!Q32</f>
        <v>1981.4631688859263</v>
      </c>
      <c r="Q11" s="428">
        <f>'Book Income Statement'!R32</f>
        <v>2040.9070639525041</v>
      </c>
      <c r="R11" s="428">
        <f>'Book Income Statement'!S32</f>
        <v>2102.1342758710794</v>
      </c>
      <c r="S11" s="428">
        <f>'Book Income Statement'!T32</f>
        <v>2165.1983041472113</v>
      </c>
      <c r="T11" s="428">
        <f>'Book Income Statement'!U32</f>
        <v>2230.1542532716276</v>
      </c>
      <c r="U11" s="428">
        <f>'Book Income Statement'!V32</f>
        <v>2297.0588808697767</v>
      </c>
      <c r="V11" s="428">
        <f>'Book Income Statement'!W32</f>
        <v>2365.9706472958701</v>
      </c>
      <c r="W11" s="958">
        <f>'Book Income Statement'!X32</f>
        <v>2436.9497667147461</v>
      </c>
      <c r="X11" s="443"/>
      <c r="Y11" s="443"/>
      <c r="Z11" s="443"/>
      <c r="AA11" s="443"/>
      <c r="AB11" s="170"/>
      <c r="AC11" s="170"/>
      <c r="AD11" s="170"/>
      <c r="AE11" s="170"/>
    </row>
    <row r="12" spans="1:31" s="98" customFormat="1" ht="11.25" customHeight="1">
      <c r="A12" s="1173" t="s">
        <v>695</v>
      </c>
      <c r="B12" s="179"/>
      <c r="C12" s="1172">
        <f>0*6</f>
        <v>0</v>
      </c>
      <c r="D12" s="1172">
        <f>0*6</f>
        <v>0</v>
      </c>
      <c r="E12" s="1172">
        <f>0*6</f>
        <v>0</v>
      </c>
      <c r="F12" s="1172">
        <f>237.48235891*6</f>
        <v>1424.8941534599999</v>
      </c>
      <c r="G12" s="1172">
        <f>0*6</f>
        <v>0</v>
      </c>
      <c r="H12" s="1172">
        <f>0*6</f>
        <v>0</v>
      </c>
      <c r="I12" s="1172">
        <f>259.503385604648*6</f>
        <v>1557.0203136278878</v>
      </c>
      <c r="J12" s="1172">
        <f>0*6</f>
        <v>0</v>
      </c>
      <c r="K12" s="1172">
        <f>0*6</f>
        <v>0</v>
      </c>
      <c r="L12" s="1172">
        <f>1520.17618140425*6</f>
        <v>9121.0570884254994</v>
      </c>
      <c r="M12" s="1172">
        <f>0*6</f>
        <v>0</v>
      </c>
      <c r="N12" s="1172">
        <f>0*6</f>
        <v>0</v>
      </c>
      <c r="O12" s="1172">
        <f>0*6</f>
        <v>0</v>
      </c>
      <c r="P12" s="1172">
        <f>319.156431944428*6</f>
        <v>1914.9385916665678</v>
      </c>
      <c r="Q12" s="1172">
        <f>0*6</f>
        <v>0</v>
      </c>
      <c r="R12" s="1172">
        <f>0*6</f>
        <v>0</v>
      </c>
      <c r="S12" s="1172">
        <f>2231.34430356686*6</f>
        <v>13388.06582140116</v>
      </c>
      <c r="T12" s="1172">
        <f>0*6</f>
        <v>0</v>
      </c>
      <c r="U12" s="1172">
        <f>0*6</f>
        <v>0</v>
      </c>
      <c r="V12" s="1172">
        <f>3707.26239365785*6</f>
        <v>22243.574361947103</v>
      </c>
      <c r="W12" s="958"/>
      <c r="X12" s="443"/>
      <c r="Y12" s="443"/>
      <c r="Z12" s="443"/>
      <c r="AA12" s="443"/>
      <c r="AB12" s="170"/>
      <c r="AC12" s="170"/>
      <c r="AD12" s="170"/>
      <c r="AE12" s="170"/>
    </row>
    <row r="13" spans="1:31" s="98" customFormat="1" ht="11.25" customHeight="1">
      <c r="A13" s="779" t="s">
        <v>124</v>
      </c>
      <c r="B13" s="179"/>
      <c r="C13" s="428">
        <f>C11</f>
        <v>1349.28</v>
      </c>
      <c r="D13" s="428">
        <f>C13+D11-D12</f>
        <v>2739.0384000000004</v>
      </c>
      <c r="E13" s="428">
        <f t="shared" ref="E13:W13" si="3">D13+E11-E12</f>
        <v>4170.4895520000009</v>
      </c>
      <c r="F13" s="428">
        <f t="shared" si="3"/>
        <v>4219.9900851000011</v>
      </c>
      <c r="G13" s="428">
        <f t="shared" si="3"/>
        <v>5738.6166122568011</v>
      </c>
      <c r="H13" s="428">
        <f t="shared" si="3"/>
        <v>7302.8019352283045</v>
      </c>
      <c r="I13" s="428">
        <f t="shared" si="3"/>
        <v>7356.8925042610654</v>
      </c>
      <c r="J13" s="428">
        <f t="shared" si="3"/>
        <v>9016.3367134015334</v>
      </c>
      <c r="K13" s="428">
        <f t="shared" si="3"/>
        <v>10725.564248816216</v>
      </c>
      <c r="L13" s="428">
        <f t="shared" si="3"/>
        <v>3365.0115218678402</v>
      </c>
      <c r="M13" s="428">
        <f t="shared" si="3"/>
        <v>5178.3310141892762</v>
      </c>
      <c r="N13" s="428">
        <f t="shared" si="3"/>
        <v>7046.0500912803564</v>
      </c>
      <c r="O13" s="428">
        <f t="shared" si="3"/>
        <v>8969.800740684168</v>
      </c>
      <c r="P13" s="428">
        <f t="shared" si="3"/>
        <v>9036.3253179035273</v>
      </c>
      <c r="Q13" s="428">
        <f t="shared" si="3"/>
        <v>11077.232381856031</v>
      </c>
      <c r="R13" s="428">
        <f t="shared" si="3"/>
        <v>13179.366657727111</v>
      </c>
      <c r="S13" s="428">
        <f t="shared" si="3"/>
        <v>1956.4991404731627</v>
      </c>
      <c r="T13" s="428">
        <f t="shared" si="3"/>
        <v>4186.6533937447903</v>
      </c>
      <c r="U13" s="428">
        <f t="shared" si="3"/>
        <v>6483.7122746145669</v>
      </c>
      <c r="V13" s="428">
        <f t="shared" si="3"/>
        <v>-13393.891440036667</v>
      </c>
      <c r="W13" s="958">
        <f t="shared" si="3"/>
        <v>-10956.94167332192</v>
      </c>
      <c r="X13" s="443"/>
      <c r="Y13" s="443"/>
      <c r="Z13" s="443"/>
      <c r="AA13" s="443"/>
      <c r="AB13" s="170"/>
      <c r="AC13" s="170"/>
      <c r="AD13" s="170"/>
      <c r="AE13" s="170"/>
    </row>
    <row r="14" spans="1:31" s="98" customFormat="1" ht="11.25">
      <c r="A14" s="814" t="s">
        <v>123</v>
      </c>
      <c r="B14" s="739"/>
      <c r="C14" s="933">
        <f>C13*InterestIncome</f>
        <v>18.203074330799026</v>
      </c>
      <c r="D14" s="933">
        <f t="shared" ref="D14:W14" si="4">D13*InterestIncome</f>
        <v>36.952240891522031</v>
      </c>
      <c r="E14" s="933">
        <f t="shared" si="4"/>
        <v>56.263882449066728</v>
      </c>
      <c r="F14" s="933">
        <f t="shared" si="4"/>
        <v>56.931691861074228</v>
      </c>
      <c r="G14" s="933">
        <f t="shared" si="4"/>
        <v>77.419412389473393</v>
      </c>
      <c r="H14" s="933">
        <f t="shared" si="4"/>
        <v>98.521764533724522</v>
      </c>
      <c r="I14" s="933">
        <f t="shared" si="4"/>
        <v>99.251497909079191</v>
      </c>
      <c r="J14" s="933">
        <f t="shared" si="4"/>
        <v>121.63898329891522</v>
      </c>
      <c r="K14" s="933">
        <f t="shared" si="4"/>
        <v>144.69809325044633</v>
      </c>
      <c r="L14" s="933">
        <f t="shared" si="4"/>
        <v>45.397215445686186</v>
      </c>
      <c r="M14" s="933">
        <f t="shared" si="4"/>
        <v>69.86062519326552</v>
      </c>
      <c r="N14" s="933">
        <f t="shared" si="4"/>
        <v>95.05793723327227</v>
      </c>
      <c r="O14" s="933">
        <f t="shared" si="4"/>
        <v>121.01116863447919</v>
      </c>
      <c r="P14" s="933">
        <f t="shared" si="4"/>
        <v>121.90864864155628</v>
      </c>
      <c r="Q14" s="933">
        <f t="shared" si="4"/>
        <v>149.4424318350967</v>
      </c>
      <c r="R14" s="933">
        <f t="shared" si="4"/>
        <v>177.80222852444336</v>
      </c>
      <c r="S14" s="933">
        <f t="shared" si="4"/>
        <v>26.395039785794935</v>
      </c>
      <c r="T14" s="933">
        <f t="shared" si="4"/>
        <v>56.481948093522789</v>
      </c>
      <c r="U14" s="933">
        <f t="shared" si="4"/>
        <v>87.471463650482477</v>
      </c>
      <c r="V14" s="933">
        <f t="shared" si="4"/>
        <v>-180.69637248135322</v>
      </c>
      <c r="W14" s="934">
        <f t="shared" si="4"/>
        <v>-147.81959542697467</v>
      </c>
      <c r="X14" s="444"/>
      <c r="Y14" s="444"/>
      <c r="Z14" s="444"/>
      <c r="AA14" s="444"/>
      <c r="AB14" s="170"/>
      <c r="AC14" s="170"/>
      <c r="AD14" s="170"/>
      <c r="AE14" s="170"/>
    </row>
    <row r="15" spans="1:31" s="98" customFormat="1" ht="11.25" hidden="1">
      <c r="A15" s="170" t="s">
        <v>122</v>
      </c>
      <c r="B15" s="170"/>
      <c r="C15" s="575">
        <f>C14</f>
        <v>18.203074330799026</v>
      </c>
      <c r="D15" s="575">
        <f t="shared" ref="D15:V15" si="5">C15+D14</f>
        <v>55.155315222321057</v>
      </c>
      <c r="E15" s="575">
        <f t="shared" si="5"/>
        <v>111.41919767138779</v>
      </c>
      <c r="F15" s="575">
        <f t="shared" si="5"/>
        <v>168.35088953246202</v>
      </c>
      <c r="G15" s="575">
        <f t="shared" si="5"/>
        <v>245.77030192193541</v>
      </c>
      <c r="H15" s="575">
        <f t="shared" si="5"/>
        <v>344.29206645565995</v>
      </c>
      <c r="I15" s="575">
        <f t="shared" si="5"/>
        <v>443.54356436473915</v>
      </c>
      <c r="J15" s="575">
        <f t="shared" si="5"/>
        <v>565.18254766365442</v>
      </c>
      <c r="K15" s="575">
        <f t="shared" si="5"/>
        <v>709.8806409141007</v>
      </c>
      <c r="L15" s="575">
        <f t="shared" si="5"/>
        <v>755.27785635978694</v>
      </c>
      <c r="M15" s="575">
        <f t="shared" si="5"/>
        <v>825.13848155305243</v>
      </c>
      <c r="N15" s="575">
        <f t="shared" si="5"/>
        <v>920.19641878632467</v>
      </c>
      <c r="O15" s="575">
        <f t="shared" si="5"/>
        <v>1041.207587420804</v>
      </c>
      <c r="P15" s="575">
        <f t="shared" si="5"/>
        <v>1163.1162360623603</v>
      </c>
      <c r="Q15" s="575">
        <f t="shared" si="5"/>
        <v>1312.5586678974569</v>
      </c>
      <c r="R15" s="575">
        <f t="shared" si="5"/>
        <v>1490.3608964219002</v>
      </c>
      <c r="S15" s="575">
        <f t="shared" si="5"/>
        <v>1516.7559362076952</v>
      </c>
      <c r="T15" s="575">
        <f t="shared" si="5"/>
        <v>1573.2378843012179</v>
      </c>
      <c r="U15" s="575">
        <f t="shared" si="5"/>
        <v>1660.7093479517005</v>
      </c>
      <c r="V15" s="575">
        <f t="shared" si="5"/>
        <v>1480.0129754703473</v>
      </c>
      <c r="W15" s="575"/>
      <c r="X15" s="575"/>
      <c r="Y15" s="575"/>
      <c r="Z15" s="575"/>
      <c r="AA15" s="575"/>
      <c r="AB15" s="170"/>
      <c r="AC15" s="170"/>
      <c r="AD15" s="170"/>
      <c r="AE15" s="170"/>
    </row>
    <row r="16" spans="1:31" s="98" customFormat="1" ht="11.25">
      <c r="A16" s="170"/>
      <c r="B16" s="170"/>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0"/>
      <c r="AC16" s="170"/>
      <c r="AD16" s="170"/>
      <c r="AE16" s="170"/>
    </row>
    <row r="17" spans="1:31" s="98" customFormat="1" ht="11.25">
      <c r="A17" s="170"/>
      <c r="B17" s="170"/>
      <c r="C17" s="441"/>
      <c r="D17" s="576"/>
      <c r="E17" s="576"/>
      <c r="F17" s="576"/>
      <c r="G17" s="576"/>
      <c r="H17" s="576"/>
      <c r="I17" s="576"/>
      <c r="J17" s="576"/>
      <c r="K17" s="170"/>
      <c r="L17" s="170"/>
      <c r="M17" s="170"/>
      <c r="N17" s="170"/>
      <c r="O17" s="170"/>
      <c r="P17" s="170"/>
      <c r="Q17" s="170"/>
      <c r="R17" s="170"/>
      <c r="S17" s="170"/>
      <c r="T17" s="170"/>
      <c r="U17" s="170"/>
      <c r="V17" s="170"/>
      <c r="W17" s="170"/>
      <c r="X17" s="170"/>
      <c r="Y17" s="170"/>
      <c r="Z17" s="170"/>
      <c r="AA17" s="170"/>
      <c r="AB17" s="170"/>
      <c r="AC17" s="170"/>
      <c r="AD17" s="170"/>
      <c r="AE17" s="170"/>
    </row>
    <row r="18" spans="1:31" s="98" customFormat="1">
      <c r="A18" t="s">
        <v>553</v>
      </c>
      <c r="B18"/>
      <c r="C18" s="1072">
        <v>6.5000000000000002E-2</v>
      </c>
      <c r="D18"/>
      <c r="E18"/>
      <c r="F18"/>
      <c r="G18"/>
      <c r="H18"/>
      <c r="I18"/>
      <c r="J18"/>
      <c r="K18" s="170"/>
      <c r="L18" s="170"/>
      <c r="M18" s="170"/>
      <c r="N18" s="170"/>
      <c r="O18" s="170"/>
      <c r="P18" s="170"/>
      <c r="Q18" s="170"/>
      <c r="R18" s="170"/>
      <c r="S18" s="170"/>
      <c r="T18" s="170"/>
      <c r="U18" s="170"/>
      <c r="V18" s="170"/>
      <c r="W18" s="170"/>
      <c r="X18" s="170"/>
      <c r="Y18" s="170"/>
      <c r="Z18" s="170"/>
      <c r="AA18" s="170"/>
      <c r="AB18" s="170"/>
      <c r="AC18" s="170"/>
      <c r="AD18" s="170"/>
      <c r="AE18" s="170"/>
    </row>
    <row r="19" spans="1:31" s="98" customFormat="1" ht="38.25">
      <c r="A19" s="1073" t="s">
        <v>554</v>
      </c>
      <c r="B19" s="1082"/>
      <c r="C19" s="1074">
        <v>1.4999999999999999E-2</v>
      </c>
      <c r="E19" s="1073" t="s">
        <v>561</v>
      </c>
      <c r="F19" s="1084" t="s">
        <v>557</v>
      </c>
      <c r="G19" s="1085" t="s">
        <v>475</v>
      </c>
      <c r="H19" s="1084" t="s">
        <v>558</v>
      </c>
      <c r="I19" s="1085" t="s">
        <v>559</v>
      </c>
      <c r="J19" s="1086" t="s">
        <v>560</v>
      </c>
      <c r="K19" s="170"/>
      <c r="L19" s="170"/>
      <c r="M19" s="170"/>
      <c r="N19" s="170"/>
      <c r="O19" s="170"/>
      <c r="P19" s="170"/>
      <c r="Q19" s="170"/>
      <c r="R19" s="170"/>
      <c r="S19" s="170"/>
      <c r="T19" s="170"/>
      <c r="U19" s="170"/>
      <c r="V19" s="170"/>
      <c r="W19" s="170"/>
      <c r="X19" s="170"/>
      <c r="Y19" s="170"/>
      <c r="Z19" s="170"/>
      <c r="AA19" s="170"/>
      <c r="AB19" s="170"/>
      <c r="AC19" s="170"/>
      <c r="AD19" s="170"/>
      <c r="AE19" s="170"/>
    </row>
    <row r="20" spans="1:31" s="98" customFormat="1">
      <c r="A20" s="1076" t="s">
        <v>555</v>
      </c>
      <c r="B20" s="101"/>
      <c r="C20" s="1077">
        <v>2.5</v>
      </c>
      <c r="E20" s="1087"/>
      <c r="F20" s="624"/>
      <c r="G20" s="624"/>
      <c r="H20" s="624"/>
      <c r="I20" s="624"/>
      <c r="J20" s="1079"/>
      <c r="K20" s="170"/>
      <c r="L20" s="170"/>
      <c r="M20" s="170"/>
      <c r="N20" s="170"/>
      <c r="O20" s="170"/>
      <c r="P20" s="170"/>
      <c r="Q20" s="170"/>
      <c r="R20" s="170"/>
      <c r="S20" s="170"/>
      <c r="T20" s="170"/>
      <c r="U20" s="170"/>
      <c r="V20" s="170"/>
      <c r="W20" s="170"/>
      <c r="X20" s="170"/>
      <c r="Y20" s="170"/>
      <c r="Z20" s="170"/>
      <c r="AA20" s="170"/>
      <c r="AB20" s="170"/>
      <c r="AC20" s="170"/>
      <c r="AD20" s="170"/>
      <c r="AE20" s="170"/>
    </row>
    <row r="21" spans="1:31" s="98" customFormat="1">
      <c r="A21" s="1076" t="s">
        <v>556</v>
      </c>
      <c r="B21" s="101"/>
      <c r="C21" s="1077">
        <f>'Project Assumptions'!N60</f>
        <v>0</v>
      </c>
      <c r="E21" s="1087">
        <v>20</v>
      </c>
      <c r="F21" s="1088">
        <f>2743</f>
        <v>2743</v>
      </c>
      <c r="G21" s="1088">
        <f>$C$21*$C$23*($C$20*(1+$C$19))</f>
        <v>0</v>
      </c>
      <c r="H21" s="1088">
        <f>G21+F21</f>
        <v>2743</v>
      </c>
      <c r="I21" s="1075">
        <f>G21/H21</f>
        <v>0</v>
      </c>
      <c r="J21" s="1089">
        <f>1-I21</f>
        <v>1</v>
      </c>
      <c r="K21" s="170"/>
      <c r="L21" s="170"/>
      <c r="M21" s="170"/>
      <c r="N21" s="170"/>
      <c r="O21" s="170"/>
      <c r="P21" s="170"/>
      <c r="Q21" s="170"/>
      <c r="R21" s="170"/>
      <c r="S21" s="170"/>
      <c r="T21" s="170"/>
      <c r="U21" s="170"/>
      <c r="V21" s="170"/>
      <c r="W21" s="170"/>
      <c r="X21" s="170"/>
      <c r="Y21" s="170"/>
      <c r="Z21" s="170"/>
      <c r="AA21" s="170"/>
      <c r="AB21" s="170"/>
      <c r="AC21" s="170"/>
      <c r="AD21" s="170"/>
      <c r="AE21" s="170"/>
    </row>
    <row r="22" spans="1:31" s="98" customFormat="1">
      <c r="A22" s="1078"/>
      <c r="B22" s="101"/>
      <c r="C22" s="1079"/>
      <c r="E22" s="1087">
        <v>30</v>
      </c>
      <c r="F22" s="1088">
        <f>2743</f>
        <v>2743</v>
      </c>
      <c r="G22" s="1088">
        <f t="shared" ref="G22:G44" si="6">$C$21*$C$23*($C$20*(1+$C$19))</f>
        <v>0</v>
      </c>
      <c r="H22" s="1088">
        <f t="shared" ref="H22:H44" si="7">G22+F22</f>
        <v>2743</v>
      </c>
      <c r="I22" s="1075">
        <f t="shared" ref="I22:I44" si="8">G22/H22</f>
        <v>0</v>
      </c>
      <c r="J22" s="1089">
        <f t="shared" ref="J22:J44" si="9">1-I22</f>
        <v>1</v>
      </c>
      <c r="K22" s="170"/>
      <c r="L22" s="170"/>
      <c r="M22" s="170"/>
      <c r="N22" s="170"/>
      <c r="O22" s="170"/>
      <c r="P22" s="170"/>
      <c r="Q22" s="170"/>
      <c r="R22" s="170"/>
      <c r="S22" s="170"/>
      <c r="T22" s="170"/>
      <c r="U22" s="170"/>
      <c r="V22" s="170"/>
      <c r="W22" s="170"/>
      <c r="X22" s="170"/>
      <c r="Y22" s="170"/>
      <c r="Z22" s="170"/>
      <c r="AA22" s="170"/>
      <c r="AB22" s="170"/>
      <c r="AC22" s="170"/>
      <c r="AD22" s="170"/>
      <c r="AE22" s="170"/>
    </row>
    <row r="23" spans="1:31" s="98" customFormat="1">
      <c r="A23" s="1080" t="s">
        <v>290</v>
      </c>
      <c r="B23" s="1083"/>
      <c r="C23" s="1081">
        <v>6</v>
      </c>
      <c r="E23" s="1087">
        <v>40</v>
      </c>
      <c r="F23" s="1088">
        <f>2743</f>
        <v>2743</v>
      </c>
      <c r="G23" s="1088">
        <f t="shared" si="6"/>
        <v>0</v>
      </c>
      <c r="H23" s="1088">
        <f t="shared" si="7"/>
        <v>2743</v>
      </c>
      <c r="I23" s="1075">
        <f t="shared" si="8"/>
        <v>0</v>
      </c>
      <c r="J23" s="1089">
        <f t="shared" si="9"/>
        <v>1</v>
      </c>
      <c r="K23" s="170"/>
      <c r="L23" s="170"/>
      <c r="M23" s="170"/>
      <c r="N23" s="170"/>
      <c r="O23" s="170"/>
      <c r="P23" s="170"/>
      <c r="Q23" s="170"/>
      <c r="R23" s="170"/>
      <c r="S23" s="170"/>
      <c r="T23" s="170"/>
      <c r="U23" s="170"/>
      <c r="V23" s="170"/>
      <c r="W23" s="170"/>
      <c r="X23" s="170"/>
      <c r="Y23" s="170"/>
      <c r="Z23" s="170"/>
      <c r="AA23" s="170"/>
      <c r="AB23" s="170"/>
      <c r="AC23" s="170"/>
      <c r="AD23" s="170"/>
      <c r="AE23" s="170"/>
    </row>
    <row r="24" spans="1:31" s="98" customFormat="1">
      <c r="A24"/>
      <c r="B24"/>
      <c r="C24"/>
      <c r="E24" s="1087">
        <v>50</v>
      </c>
      <c r="F24" s="1088">
        <f>2743</f>
        <v>2743</v>
      </c>
      <c r="G24" s="1088">
        <f t="shared" si="6"/>
        <v>0</v>
      </c>
      <c r="H24" s="1088">
        <f t="shared" si="7"/>
        <v>2743</v>
      </c>
      <c r="I24" s="1075">
        <f t="shared" si="8"/>
        <v>0</v>
      </c>
      <c r="J24" s="1089">
        <f t="shared" si="9"/>
        <v>1</v>
      </c>
      <c r="K24" s="170"/>
      <c r="L24" s="170"/>
      <c r="M24" s="170"/>
      <c r="N24" s="170"/>
      <c r="O24" s="170"/>
      <c r="P24" s="170"/>
      <c r="Q24" s="170"/>
      <c r="R24" s="170"/>
      <c r="S24" s="170"/>
      <c r="T24" s="170"/>
      <c r="U24" s="170"/>
      <c r="V24" s="170"/>
      <c r="W24" s="170"/>
      <c r="X24" s="170"/>
      <c r="Y24" s="170"/>
      <c r="Z24" s="170"/>
      <c r="AA24" s="170"/>
      <c r="AB24" s="170"/>
      <c r="AC24" s="170"/>
      <c r="AD24" s="170"/>
      <c r="AE24" s="170"/>
    </row>
    <row r="25" spans="1:31" s="98" customFormat="1">
      <c r="A25"/>
      <c r="B25"/>
      <c r="C25"/>
      <c r="E25" s="1087">
        <v>60</v>
      </c>
      <c r="F25" s="1088">
        <f>7459</f>
        <v>7459</v>
      </c>
      <c r="G25" s="1088">
        <f t="shared" si="6"/>
        <v>0</v>
      </c>
      <c r="H25" s="1088">
        <f t="shared" si="7"/>
        <v>7459</v>
      </c>
      <c r="I25" s="1075">
        <f t="shared" si="8"/>
        <v>0</v>
      </c>
      <c r="J25" s="1089">
        <f t="shared" si="9"/>
        <v>1</v>
      </c>
      <c r="K25" s="170"/>
      <c r="L25" s="170"/>
      <c r="M25" s="170"/>
      <c r="N25" s="170"/>
      <c r="O25" s="170"/>
      <c r="P25" s="170"/>
      <c r="Q25" s="170"/>
      <c r="R25" s="170"/>
      <c r="S25" s="170"/>
      <c r="T25" s="170"/>
      <c r="U25" s="170"/>
      <c r="V25" s="170"/>
      <c r="W25" s="170"/>
      <c r="X25" s="170"/>
      <c r="Y25" s="170"/>
      <c r="Z25" s="170"/>
      <c r="AA25" s="170"/>
      <c r="AB25" s="170"/>
      <c r="AC25" s="170"/>
      <c r="AD25" s="170"/>
      <c r="AE25" s="170"/>
    </row>
    <row r="26" spans="1:31" s="98" customFormat="1">
      <c r="E26" s="1087">
        <v>70</v>
      </c>
      <c r="F26" s="1088">
        <f>7459</f>
        <v>7459</v>
      </c>
      <c r="G26" s="1088">
        <f t="shared" si="6"/>
        <v>0</v>
      </c>
      <c r="H26" s="1088">
        <f t="shared" si="7"/>
        <v>7459</v>
      </c>
      <c r="I26" s="1075">
        <f t="shared" si="8"/>
        <v>0</v>
      </c>
      <c r="J26" s="1089">
        <f t="shared" si="9"/>
        <v>1</v>
      </c>
      <c r="K26" s="170"/>
      <c r="L26" s="170"/>
      <c r="M26" s="170"/>
      <c r="N26" s="170"/>
      <c r="O26" s="170"/>
      <c r="P26" s="170"/>
      <c r="Q26" s="170"/>
      <c r="R26" s="170"/>
      <c r="S26" s="170"/>
      <c r="T26" s="170"/>
      <c r="U26" s="170"/>
      <c r="V26" s="170"/>
      <c r="W26" s="170"/>
      <c r="X26" s="170"/>
      <c r="Y26" s="170"/>
      <c r="Z26" s="170"/>
      <c r="AA26" s="170"/>
      <c r="AB26" s="170"/>
      <c r="AC26" s="170"/>
      <c r="AD26" s="170"/>
      <c r="AE26" s="170"/>
    </row>
    <row r="27" spans="1:31" s="98" customFormat="1">
      <c r="E27" s="1087">
        <v>80</v>
      </c>
      <c r="F27" s="1088">
        <f>7459</f>
        <v>7459</v>
      </c>
      <c r="G27" s="1088">
        <f t="shared" si="6"/>
        <v>0</v>
      </c>
      <c r="H27" s="1088">
        <f t="shared" si="7"/>
        <v>7459</v>
      </c>
      <c r="I27" s="1075">
        <f t="shared" si="8"/>
        <v>0</v>
      </c>
      <c r="J27" s="1089">
        <f t="shared" si="9"/>
        <v>1</v>
      </c>
      <c r="K27" s="170"/>
      <c r="L27" s="170"/>
      <c r="M27" s="170"/>
      <c r="N27" s="170"/>
      <c r="O27" s="170"/>
      <c r="P27" s="170"/>
      <c r="Q27" s="170"/>
      <c r="R27" s="170"/>
      <c r="S27" s="170"/>
      <c r="T27" s="170"/>
      <c r="U27" s="170"/>
      <c r="V27" s="170"/>
      <c r="W27" s="170"/>
      <c r="X27" s="170"/>
      <c r="Y27" s="170"/>
      <c r="Z27" s="170"/>
      <c r="AA27" s="170"/>
      <c r="AB27" s="170"/>
      <c r="AC27" s="170"/>
      <c r="AD27" s="170"/>
      <c r="AE27" s="170"/>
    </row>
    <row r="28" spans="1:31" s="98" customFormat="1">
      <c r="E28" s="1087">
        <v>90</v>
      </c>
      <c r="F28" s="1088">
        <f>7459</f>
        <v>7459</v>
      </c>
      <c r="G28" s="1088">
        <f t="shared" si="6"/>
        <v>0</v>
      </c>
      <c r="H28" s="1088">
        <f t="shared" si="7"/>
        <v>7459</v>
      </c>
      <c r="I28" s="1075">
        <f t="shared" si="8"/>
        <v>0</v>
      </c>
      <c r="J28" s="1089">
        <f t="shared" si="9"/>
        <v>1</v>
      </c>
      <c r="K28" s="170"/>
      <c r="L28" s="170"/>
      <c r="M28" s="170"/>
      <c r="N28" s="170"/>
      <c r="O28" s="170"/>
      <c r="P28" s="170"/>
      <c r="Q28" s="170"/>
      <c r="R28" s="170"/>
      <c r="S28" s="170"/>
      <c r="T28" s="170"/>
      <c r="U28" s="170"/>
      <c r="V28" s="170"/>
      <c r="W28" s="170"/>
      <c r="X28" s="170"/>
      <c r="Y28" s="170"/>
      <c r="Z28" s="170"/>
      <c r="AA28" s="170"/>
      <c r="AB28" s="170"/>
      <c r="AC28" s="170"/>
      <c r="AD28" s="170"/>
      <c r="AE28" s="170"/>
    </row>
    <row r="29" spans="1:31" s="98" customFormat="1">
      <c r="E29" s="1087">
        <v>100</v>
      </c>
      <c r="F29" s="1088">
        <f>7459</f>
        <v>7459</v>
      </c>
      <c r="G29" s="1088">
        <f t="shared" si="6"/>
        <v>0</v>
      </c>
      <c r="H29" s="1088">
        <f t="shared" si="7"/>
        <v>7459</v>
      </c>
      <c r="I29" s="1075">
        <f t="shared" si="8"/>
        <v>0</v>
      </c>
      <c r="J29" s="1089">
        <f t="shared" si="9"/>
        <v>1</v>
      </c>
      <c r="K29" s="170"/>
      <c r="L29" s="170"/>
      <c r="M29" s="170"/>
      <c r="N29" s="170"/>
      <c r="O29" s="170"/>
      <c r="P29" s="170"/>
      <c r="Q29" s="170"/>
      <c r="R29" s="170"/>
      <c r="S29" s="170"/>
      <c r="T29" s="170"/>
      <c r="U29" s="170"/>
      <c r="V29" s="170"/>
      <c r="W29" s="170"/>
      <c r="X29" s="170"/>
      <c r="Y29" s="170"/>
      <c r="Z29" s="170"/>
      <c r="AA29" s="170"/>
      <c r="AB29" s="170"/>
      <c r="AC29" s="170"/>
      <c r="AD29" s="170"/>
      <c r="AE29" s="170"/>
    </row>
    <row r="30" spans="1:31" s="98" customFormat="1">
      <c r="E30" s="1087">
        <v>110</v>
      </c>
      <c r="F30" s="1088">
        <f>7459</f>
        <v>7459</v>
      </c>
      <c r="G30" s="1088">
        <f t="shared" si="6"/>
        <v>0</v>
      </c>
      <c r="H30" s="1088">
        <f t="shared" si="7"/>
        <v>7459</v>
      </c>
      <c r="I30" s="1075">
        <f t="shared" si="8"/>
        <v>0</v>
      </c>
      <c r="J30" s="1089">
        <f t="shared" si="9"/>
        <v>1</v>
      </c>
      <c r="K30" s="170"/>
      <c r="L30" s="170"/>
      <c r="M30" s="170"/>
      <c r="N30" s="170"/>
      <c r="O30" s="170"/>
      <c r="P30" s="170"/>
      <c r="Q30" s="170"/>
      <c r="R30" s="170"/>
      <c r="S30" s="170"/>
      <c r="T30" s="170"/>
      <c r="U30" s="170"/>
      <c r="V30" s="170"/>
      <c r="W30" s="170"/>
      <c r="X30" s="170"/>
      <c r="Y30" s="170"/>
      <c r="Z30" s="170"/>
      <c r="AA30" s="170"/>
      <c r="AB30" s="170"/>
      <c r="AC30" s="170"/>
      <c r="AD30" s="170"/>
      <c r="AE30" s="170"/>
    </row>
    <row r="31" spans="1:31" s="98" customFormat="1">
      <c r="E31" s="1087">
        <v>120</v>
      </c>
      <c r="F31" s="1088">
        <f>11244</f>
        <v>11244</v>
      </c>
      <c r="G31" s="1088">
        <f t="shared" si="6"/>
        <v>0</v>
      </c>
      <c r="H31" s="1088">
        <f t="shared" si="7"/>
        <v>11244</v>
      </c>
      <c r="I31" s="1075">
        <f t="shared" si="8"/>
        <v>0</v>
      </c>
      <c r="J31" s="1089">
        <f t="shared" si="9"/>
        <v>1</v>
      </c>
      <c r="K31" s="170"/>
      <c r="L31" s="170"/>
      <c r="M31" s="170"/>
      <c r="N31" s="170"/>
      <c r="O31" s="170"/>
      <c r="P31" s="170"/>
      <c r="Q31" s="170"/>
      <c r="R31" s="170"/>
      <c r="S31" s="170"/>
      <c r="T31" s="170"/>
      <c r="U31" s="170"/>
      <c r="V31" s="170"/>
      <c r="W31" s="170"/>
      <c r="X31" s="170"/>
      <c r="Y31" s="170"/>
      <c r="Z31" s="170"/>
      <c r="AA31" s="170"/>
      <c r="AB31" s="170"/>
      <c r="AC31" s="170"/>
      <c r="AD31" s="170"/>
      <c r="AE31" s="170"/>
    </row>
    <row r="32" spans="1:31" s="98" customFormat="1">
      <c r="E32" s="1087">
        <v>130</v>
      </c>
      <c r="F32" s="1088">
        <f>11244</f>
        <v>11244</v>
      </c>
      <c r="G32" s="1088">
        <f t="shared" si="6"/>
        <v>0</v>
      </c>
      <c r="H32" s="1088">
        <f t="shared" si="7"/>
        <v>11244</v>
      </c>
      <c r="I32" s="1075">
        <f t="shared" si="8"/>
        <v>0</v>
      </c>
      <c r="J32" s="1089">
        <f t="shared" si="9"/>
        <v>1</v>
      </c>
      <c r="K32" s="170"/>
      <c r="L32" s="170"/>
      <c r="M32" s="170"/>
      <c r="N32" s="170"/>
      <c r="O32" s="170"/>
      <c r="P32" s="170"/>
      <c r="Q32" s="170"/>
      <c r="R32" s="170"/>
      <c r="S32" s="170"/>
      <c r="T32" s="170"/>
      <c r="U32" s="170"/>
      <c r="V32" s="170"/>
      <c r="W32" s="170"/>
      <c r="X32" s="170"/>
      <c r="Y32" s="170"/>
      <c r="Z32" s="170"/>
      <c r="AA32" s="170"/>
      <c r="AB32" s="170"/>
      <c r="AC32" s="170"/>
      <c r="AD32" s="170"/>
      <c r="AE32" s="170"/>
    </row>
    <row r="33" spans="5:31" s="98" customFormat="1">
      <c r="E33" s="1087">
        <v>140</v>
      </c>
      <c r="F33" s="1088">
        <f>11244</f>
        <v>11244</v>
      </c>
      <c r="G33" s="1088">
        <f t="shared" si="6"/>
        <v>0</v>
      </c>
      <c r="H33" s="1088">
        <f t="shared" si="7"/>
        <v>11244</v>
      </c>
      <c r="I33" s="1075">
        <f t="shared" si="8"/>
        <v>0</v>
      </c>
      <c r="J33" s="1089">
        <f t="shared" si="9"/>
        <v>1</v>
      </c>
      <c r="K33" s="170"/>
      <c r="L33" s="170"/>
      <c r="M33" s="170"/>
      <c r="N33" s="170"/>
      <c r="O33" s="170"/>
      <c r="P33" s="170"/>
      <c r="Q33" s="170"/>
      <c r="R33" s="170"/>
      <c r="S33" s="170"/>
      <c r="T33" s="170"/>
      <c r="U33" s="170"/>
      <c r="V33" s="170"/>
      <c r="W33" s="170"/>
      <c r="X33" s="170"/>
      <c r="Y33" s="170"/>
      <c r="Z33" s="170"/>
      <c r="AA33" s="170"/>
      <c r="AB33" s="170"/>
      <c r="AC33" s="170"/>
      <c r="AD33" s="170"/>
      <c r="AE33" s="170"/>
    </row>
    <row r="34" spans="5:31" s="98" customFormat="1">
      <c r="E34" s="1087">
        <v>150</v>
      </c>
      <c r="F34" s="1088">
        <f>11244</f>
        <v>11244</v>
      </c>
      <c r="G34" s="1088">
        <f t="shared" si="6"/>
        <v>0</v>
      </c>
      <c r="H34" s="1088">
        <f t="shared" si="7"/>
        <v>11244</v>
      </c>
      <c r="I34" s="1075">
        <f t="shared" si="8"/>
        <v>0</v>
      </c>
      <c r="J34" s="1089">
        <f t="shared" si="9"/>
        <v>1</v>
      </c>
      <c r="K34" s="170"/>
      <c r="L34" s="170"/>
      <c r="M34" s="170"/>
      <c r="N34" s="170"/>
      <c r="O34" s="170"/>
      <c r="P34" s="170"/>
      <c r="Q34" s="170"/>
      <c r="R34" s="170"/>
      <c r="S34" s="170"/>
      <c r="T34" s="170"/>
      <c r="U34" s="170"/>
      <c r="V34" s="170"/>
      <c r="W34" s="170"/>
      <c r="X34" s="170"/>
      <c r="Y34" s="170"/>
      <c r="Z34" s="170"/>
      <c r="AA34" s="170"/>
      <c r="AB34" s="170"/>
      <c r="AC34" s="170"/>
      <c r="AD34" s="170"/>
      <c r="AE34" s="170"/>
    </row>
    <row r="35" spans="5:31">
      <c r="E35" s="1087">
        <v>160</v>
      </c>
      <c r="F35" s="1088">
        <f>11244</f>
        <v>11244</v>
      </c>
      <c r="G35" s="1088">
        <f t="shared" si="6"/>
        <v>0</v>
      </c>
      <c r="H35" s="1088">
        <f t="shared" si="7"/>
        <v>11244</v>
      </c>
      <c r="I35" s="1075">
        <f t="shared" si="8"/>
        <v>0</v>
      </c>
      <c r="J35" s="1089">
        <f t="shared" si="9"/>
        <v>1</v>
      </c>
    </row>
    <row r="36" spans="5:31">
      <c r="E36" s="1087">
        <v>170</v>
      </c>
      <c r="F36" s="1088">
        <f>11244</f>
        <v>11244</v>
      </c>
      <c r="G36" s="1088">
        <f t="shared" si="6"/>
        <v>0</v>
      </c>
      <c r="H36" s="1088">
        <f t="shared" si="7"/>
        <v>11244</v>
      </c>
      <c r="I36" s="1075">
        <f t="shared" si="8"/>
        <v>0</v>
      </c>
      <c r="J36" s="1089">
        <f t="shared" si="9"/>
        <v>1</v>
      </c>
    </row>
    <row r="37" spans="5:31">
      <c r="E37" s="1087">
        <v>180</v>
      </c>
      <c r="F37" s="1088">
        <f>15478</f>
        <v>15478</v>
      </c>
      <c r="G37" s="1088">
        <f t="shared" si="6"/>
        <v>0</v>
      </c>
      <c r="H37" s="1088">
        <f t="shared" si="7"/>
        <v>15478</v>
      </c>
      <c r="I37" s="1075">
        <f t="shared" si="8"/>
        <v>0</v>
      </c>
      <c r="J37" s="1089">
        <f t="shared" si="9"/>
        <v>1</v>
      </c>
    </row>
    <row r="38" spans="5:31">
      <c r="E38" s="1087">
        <v>190</v>
      </c>
      <c r="F38" s="1088">
        <f>15478</f>
        <v>15478</v>
      </c>
      <c r="G38" s="1088">
        <f t="shared" si="6"/>
        <v>0</v>
      </c>
      <c r="H38" s="1088">
        <f t="shared" si="7"/>
        <v>15478</v>
      </c>
      <c r="I38" s="1075">
        <f t="shared" si="8"/>
        <v>0</v>
      </c>
      <c r="J38" s="1089">
        <f t="shared" si="9"/>
        <v>1</v>
      </c>
    </row>
    <row r="39" spans="5:31">
      <c r="E39" s="1087">
        <v>200</v>
      </c>
      <c r="F39" s="1088">
        <f>15478</f>
        <v>15478</v>
      </c>
      <c r="G39" s="1088">
        <f t="shared" si="6"/>
        <v>0</v>
      </c>
      <c r="H39" s="1088">
        <f t="shared" si="7"/>
        <v>15478</v>
      </c>
      <c r="I39" s="1075">
        <f t="shared" si="8"/>
        <v>0</v>
      </c>
      <c r="J39" s="1089">
        <f t="shared" si="9"/>
        <v>1</v>
      </c>
    </row>
    <row r="40" spans="5:31">
      <c r="E40" s="1087">
        <v>210</v>
      </c>
      <c r="F40" s="1088">
        <f>15478</f>
        <v>15478</v>
      </c>
      <c r="G40" s="1088">
        <f t="shared" si="6"/>
        <v>0</v>
      </c>
      <c r="H40" s="1088">
        <f t="shared" si="7"/>
        <v>15478</v>
      </c>
      <c r="I40" s="1075">
        <f t="shared" si="8"/>
        <v>0</v>
      </c>
      <c r="J40" s="1089">
        <f t="shared" si="9"/>
        <v>1</v>
      </c>
    </row>
    <row r="41" spans="5:31">
      <c r="E41" s="1087">
        <v>220</v>
      </c>
      <c r="F41" s="1088">
        <f>15478</f>
        <v>15478</v>
      </c>
      <c r="G41" s="1088">
        <f t="shared" si="6"/>
        <v>0</v>
      </c>
      <c r="H41" s="1088">
        <f t="shared" si="7"/>
        <v>15478</v>
      </c>
      <c r="I41" s="1075">
        <f t="shared" si="8"/>
        <v>0</v>
      </c>
      <c r="J41" s="1089">
        <f t="shared" si="9"/>
        <v>1</v>
      </c>
    </row>
    <row r="42" spans="5:31">
      <c r="E42" s="1087">
        <v>230</v>
      </c>
      <c r="F42" s="1088">
        <f>15478</f>
        <v>15478</v>
      </c>
      <c r="G42" s="1088">
        <f t="shared" si="6"/>
        <v>0</v>
      </c>
      <c r="H42" s="1088">
        <f t="shared" si="7"/>
        <v>15478</v>
      </c>
      <c r="I42" s="1075">
        <f t="shared" si="8"/>
        <v>0</v>
      </c>
      <c r="J42" s="1089">
        <f t="shared" si="9"/>
        <v>1</v>
      </c>
    </row>
    <row r="43" spans="5:31">
      <c r="E43" s="1087">
        <v>240</v>
      </c>
      <c r="F43" s="1088">
        <f>18822</f>
        <v>18822</v>
      </c>
      <c r="G43" s="1088">
        <f t="shared" si="6"/>
        <v>0</v>
      </c>
      <c r="H43" s="1088">
        <f t="shared" si="7"/>
        <v>18822</v>
      </c>
      <c r="I43" s="1075">
        <f t="shared" si="8"/>
        <v>0</v>
      </c>
      <c r="J43" s="1089">
        <f t="shared" si="9"/>
        <v>1</v>
      </c>
    </row>
    <row r="44" spans="5:31">
      <c r="E44" s="1090">
        <v>250</v>
      </c>
      <c r="F44" s="1091">
        <f>18822</f>
        <v>18822</v>
      </c>
      <c r="G44" s="1091">
        <f t="shared" si="6"/>
        <v>0</v>
      </c>
      <c r="H44" s="1091">
        <f t="shared" si="7"/>
        <v>18822</v>
      </c>
      <c r="I44" s="1092">
        <f t="shared" si="8"/>
        <v>0</v>
      </c>
      <c r="J44" s="1093">
        <f t="shared" si="9"/>
        <v>1</v>
      </c>
    </row>
  </sheetData>
  <pageMargins left="0.75" right="0.75" top="1" bottom="1" header="0.5" footer="0.5"/>
  <pageSetup scale="48" orientation="landscape" r:id="rId1"/>
  <headerFooter alignWithMargins="0">
    <oddFooter>&amp;L&amp;D   &amp;T&amp;R&amp;F
&amp;A &amp;P</oddFooter>
  </headerFooter>
  <colBreaks count="1" manualBreakCount="1">
    <brk id="23" max="33"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42"/>
  <sheetViews>
    <sheetView workbookViewId="0"/>
  </sheetViews>
  <sheetFormatPr defaultRowHeight="12.75"/>
  <cols>
    <col min="1" max="1" width="11.85546875" customWidth="1"/>
  </cols>
  <sheetData>
    <row r="1" spans="1:3">
      <c r="A1" s="1135" t="str">
        <f>'PPA Assumptions &amp; Summary'!A1</f>
        <v>CALEDONIA, Lowndes County, MS</v>
      </c>
    </row>
    <row r="2" spans="1:3">
      <c r="A2" s="13" t="s">
        <v>608</v>
      </c>
    </row>
    <row r="5" spans="1:3">
      <c r="A5" s="1132" t="s">
        <v>609</v>
      </c>
    </row>
    <row r="7" spans="1:3">
      <c r="A7" t="s">
        <v>610</v>
      </c>
      <c r="C7">
        <f>NetMW</f>
        <v>442</v>
      </c>
    </row>
    <row r="8" spans="1:3">
      <c r="A8" t="s">
        <v>611</v>
      </c>
      <c r="C8" s="620">
        <f>HeatRate</f>
        <v>12064</v>
      </c>
    </row>
    <row r="9" spans="1:3">
      <c r="A9" t="s">
        <v>612</v>
      </c>
      <c r="C9">
        <f>'Project Assumptions'!I8</f>
        <v>6</v>
      </c>
    </row>
    <row r="10" spans="1:3">
      <c r="A10" t="s">
        <v>613</v>
      </c>
      <c r="C10">
        <f>AnnualHours</f>
        <v>1200</v>
      </c>
    </row>
    <row r="11" spans="1:3">
      <c r="A11" t="s">
        <v>630</v>
      </c>
      <c r="C11">
        <f>'Project Assumptions'!N60</f>
        <v>0</v>
      </c>
    </row>
    <row r="13" spans="1:3">
      <c r="A13" s="1132" t="s">
        <v>614</v>
      </c>
    </row>
    <row r="14" spans="1:3">
      <c r="C14" s="1133">
        <v>1999</v>
      </c>
    </row>
    <row r="15" spans="1:3">
      <c r="A15" t="s">
        <v>615</v>
      </c>
      <c r="C15" s="620">
        <f>Labor+Fixed</f>
        <v>701.45</v>
      </c>
    </row>
    <row r="16" spans="1:3">
      <c r="A16" t="s">
        <v>616</v>
      </c>
      <c r="C16" s="620">
        <f>'Project Assumptions'!L11</f>
        <v>446.6</v>
      </c>
    </row>
    <row r="17" spans="1:23">
      <c r="A17" t="s">
        <v>617</v>
      </c>
      <c r="C17" s="620">
        <f>'Project Assumptions'!O16</f>
        <v>0</v>
      </c>
    </row>
    <row r="18" spans="1:23">
      <c r="A18" t="s">
        <v>618</v>
      </c>
      <c r="C18" s="620">
        <f>'Project Assumptions'!O15</f>
        <v>1349.28</v>
      </c>
    </row>
    <row r="19" spans="1:23">
      <c r="A19" t="s">
        <v>619</v>
      </c>
      <c r="C19" s="620">
        <f>'Project Assumptions'!N32</f>
        <v>255.76</v>
      </c>
    </row>
    <row r="20" spans="1:23">
      <c r="A20" t="s">
        <v>620</v>
      </c>
      <c r="C20" s="620">
        <f>'Project Assumptions'!N34+'Project Assumptions'!N35+'Project Assumptions'!N36+'Project Assumptions'!N37</f>
        <v>443.22030000000001</v>
      </c>
    </row>
    <row r="21" spans="1:23">
      <c r="A21" t="s">
        <v>633</v>
      </c>
      <c r="C21" s="620">
        <f>'Project Assumptions'!N33</f>
        <v>44.112029999999997</v>
      </c>
    </row>
    <row r="22" spans="1:23">
      <c r="A22" t="s">
        <v>621</v>
      </c>
      <c r="C22" s="620">
        <f>'Book Income Statement'!D53+'Book Income Statement'!D56</f>
        <v>0</v>
      </c>
      <c r="D22" s="620">
        <f>'Book Income Statement'!E53+'Book Income Statement'!E56</f>
        <v>549.16369837411492</v>
      </c>
      <c r="E22" s="620">
        <f>'Book Income Statement'!F53+'Book Income Statement'!F56</f>
        <v>538.06948224534494</v>
      </c>
      <c r="F22" s="620">
        <f>'Book Income Statement'!G53+'Book Income Statement'!G56</f>
        <v>526.97526611657486</v>
      </c>
      <c r="G22" s="620">
        <f>'Book Income Statement'!H53+'Book Income Statement'!H56</f>
        <v>515.881049987805</v>
      </c>
      <c r="H22" s="620">
        <f>'Book Income Statement'!I53+'Book Income Statement'!I56</f>
        <v>504.78683385903503</v>
      </c>
      <c r="I22" s="620">
        <f>'Book Income Statement'!J53+'Book Income Statement'!J56</f>
        <v>493.69261773026494</v>
      </c>
      <c r="J22" s="620">
        <f>'Book Income Statement'!K53+'Book Income Statement'!K56</f>
        <v>477.05129353710993</v>
      </c>
      <c r="K22" s="620">
        <f>'Book Income Statement'!L53+'Book Income Statement'!L56</f>
        <v>460.40996934395491</v>
      </c>
      <c r="L22" s="620">
        <f>'Book Income Statement'!M53+'Book Income Statement'!M56</f>
        <v>443.76864515080001</v>
      </c>
      <c r="M22" s="620">
        <f>'Book Income Statement'!N53+'Book Income Statement'!N56</f>
        <v>421.58021289325995</v>
      </c>
      <c r="N22" s="620">
        <f>'Book Income Statement'!O53+'Book Income Statement'!O56</f>
        <v>1198.1753419071597</v>
      </c>
      <c r="O22" s="620">
        <f>'Book Income Statement'!P53+'Book Income Statement'!P56</f>
        <v>1114.9687209413851</v>
      </c>
      <c r="P22" s="620">
        <f>'Book Income Statement'!Q53+'Book Income Statement'!Q56</f>
        <v>1015.120775782455</v>
      </c>
      <c r="Q22" s="620">
        <f>'Book Income Statement'!R53+'Book Income Statement'!R56</f>
        <v>915.27283062352512</v>
      </c>
      <c r="R22" s="620">
        <f>'Book Income Statement'!S53+'Book Income Statement'!S56</f>
        <v>815.42488546459481</v>
      </c>
      <c r="S22" s="620">
        <f>'Book Income Statement'!T53+'Book Income Statement'!T56</f>
        <v>682.29429191935492</v>
      </c>
      <c r="T22" s="620">
        <f>'Book Income Statement'!U53+'Book Income Statement'!U56</f>
        <v>532.52237418096001</v>
      </c>
      <c r="U22" s="620">
        <f>'Book Income Statement'!V53+'Book Income Statement'!V56</f>
        <v>382.750456442565</v>
      </c>
      <c r="V22" s="620">
        <f>'Book Income Statement'!W53+'Book Income Statement'!W56</f>
        <v>332.82648386310001</v>
      </c>
      <c r="W22" s="620">
        <f>'Book Income Statement'!X53+'Book Income Statement'!X56</f>
        <v>332.82648386310001</v>
      </c>
    </row>
    <row r="23" spans="1:23">
      <c r="A23" t="s">
        <v>476</v>
      </c>
      <c r="C23" s="620"/>
    </row>
    <row r="24" spans="1:23">
      <c r="A24" t="s">
        <v>622</v>
      </c>
      <c r="C24" s="620">
        <f>'Project Assumptions'!N22</f>
        <v>152.94117647058826</v>
      </c>
    </row>
    <row r="25" spans="1:23">
      <c r="A25" t="s">
        <v>623</v>
      </c>
      <c r="C25" s="620">
        <f>'Project Assumptions'!N24</f>
        <v>200</v>
      </c>
    </row>
    <row r="27" spans="1:23">
      <c r="A27" s="13" t="s">
        <v>624</v>
      </c>
    </row>
    <row r="29" spans="1:23">
      <c r="A29" t="s">
        <v>602</v>
      </c>
      <c r="C29" s="1134">
        <f>VEP</f>
        <v>0.89012066365007547</v>
      </c>
    </row>
    <row r="30" spans="1:23">
      <c r="A30" t="s">
        <v>626</v>
      </c>
      <c r="C30" s="620">
        <f>'Project Assumptions'!F23</f>
        <v>1874</v>
      </c>
    </row>
    <row r="34" spans="1:25">
      <c r="A34" s="1152" t="s">
        <v>669</v>
      </c>
      <c r="B34" s="1153"/>
      <c r="C34" s="1153"/>
      <c r="D34" s="1153"/>
      <c r="E34" s="1153"/>
      <c r="F34" s="1153"/>
      <c r="G34" s="1153"/>
      <c r="H34" s="1153"/>
      <c r="I34" s="1153"/>
      <c r="J34" s="1153"/>
      <c r="K34" s="1153"/>
      <c r="L34" s="1153"/>
      <c r="M34" s="1153"/>
      <c r="N34" s="1153"/>
      <c r="O34" s="1153"/>
      <c r="P34" s="1153"/>
      <c r="Q34" s="1153"/>
      <c r="R34" s="1153"/>
      <c r="S34" s="1153"/>
      <c r="T34" s="1153"/>
      <c r="U34" s="1153"/>
      <c r="V34" s="1153"/>
      <c r="W34" s="1153"/>
      <c r="X34" s="1153"/>
      <c r="Y34" s="1154"/>
    </row>
    <row r="35" spans="1:25">
      <c r="A35" s="1087"/>
      <c r="B35" s="624"/>
      <c r="C35" s="49">
        <v>1999</v>
      </c>
      <c r="D35" s="49">
        <f>C35+1</f>
        <v>2000</v>
      </c>
      <c r="E35" s="49">
        <f t="shared" ref="E35:Y35" si="0">D35+1</f>
        <v>2001</v>
      </c>
      <c r="F35" s="49">
        <f t="shared" si="0"/>
        <v>2002</v>
      </c>
      <c r="G35" s="49">
        <f t="shared" si="0"/>
        <v>2003</v>
      </c>
      <c r="H35" s="49">
        <f t="shared" si="0"/>
        <v>2004</v>
      </c>
      <c r="I35" s="49">
        <f t="shared" si="0"/>
        <v>2005</v>
      </c>
      <c r="J35" s="49">
        <f t="shared" si="0"/>
        <v>2006</v>
      </c>
      <c r="K35" s="49">
        <f t="shared" si="0"/>
        <v>2007</v>
      </c>
      <c r="L35" s="49">
        <f t="shared" si="0"/>
        <v>2008</v>
      </c>
      <c r="M35" s="49">
        <f t="shared" si="0"/>
        <v>2009</v>
      </c>
      <c r="N35" s="49">
        <f t="shared" si="0"/>
        <v>2010</v>
      </c>
      <c r="O35" s="49">
        <f t="shared" si="0"/>
        <v>2011</v>
      </c>
      <c r="P35" s="49">
        <f t="shared" si="0"/>
        <v>2012</v>
      </c>
      <c r="Q35" s="49">
        <f t="shared" si="0"/>
        <v>2013</v>
      </c>
      <c r="R35" s="49">
        <f t="shared" si="0"/>
        <v>2014</v>
      </c>
      <c r="S35" s="49">
        <f t="shared" si="0"/>
        <v>2015</v>
      </c>
      <c r="T35" s="49">
        <f t="shared" si="0"/>
        <v>2016</v>
      </c>
      <c r="U35" s="49">
        <f t="shared" si="0"/>
        <v>2017</v>
      </c>
      <c r="V35" s="49">
        <f t="shared" si="0"/>
        <v>2018</v>
      </c>
      <c r="W35" s="49">
        <f t="shared" si="0"/>
        <v>2019</v>
      </c>
      <c r="X35" s="49">
        <f t="shared" si="0"/>
        <v>2020</v>
      </c>
      <c r="Y35" s="1155">
        <f t="shared" si="0"/>
        <v>2021</v>
      </c>
    </row>
    <row r="36" spans="1:25">
      <c r="A36" s="1087" t="s">
        <v>670</v>
      </c>
      <c r="B36" s="624"/>
      <c r="C36" s="1088">
        <f>[7]Caledonia!E39</f>
        <v>4843.1189000746035</v>
      </c>
      <c r="D36" s="1088">
        <f>[7]Caledonia!F39</f>
        <v>19250.276467007167</v>
      </c>
      <c r="E36" s="1088">
        <f>[7]Caledonia!G39</f>
        <v>19588.626371948943</v>
      </c>
      <c r="F36" s="1088">
        <f>[7]Caledonia!H39</f>
        <v>19541.754395974123</v>
      </c>
      <c r="G36" s="1088">
        <f>[7]Caledonia!I39</f>
        <v>25272.154099332831</v>
      </c>
      <c r="H36" s="1088">
        <f>[7]Caledonia!J39</f>
        <v>29736.195053268424</v>
      </c>
      <c r="I36" s="1088">
        <f>[7]Caledonia!K39</f>
        <v>30056.183930721476</v>
      </c>
      <c r="J36" s="1088">
        <f>[7]Caledonia!L39</f>
        <v>30372.898550850077</v>
      </c>
      <c r="K36" s="1088">
        <f>[7]Caledonia!M39</f>
        <v>31318.958595191118</v>
      </c>
      <c r="L36" s="1088">
        <f>[7]Caledonia!N39</f>
        <v>31634.783022102783</v>
      </c>
      <c r="M36" s="1088">
        <f>[7]Caledonia!O39</f>
        <v>32623.230772132774</v>
      </c>
      <c r="N36" s="1088">
        <f>[7]Caledonia!P39</f>
        <v>32161.550768125024</v>
      </c>
      <c r="O36" s="1088">
        <f>[7]Caledonia!Q39</f>
        <v>33254.876113666454</v>
      </c>
      <c r="P36" s="1088">
        <f>[7]Caledonia!R39</f>
        <v>33654.043831001465</v>
      </c>
      <c r="Q36" s="1088">
        <f>[7]Caledonia!S39</f>
        <v>34039.790869251941</v>
      </c>
      <c r="R36" s="1088">
        <f>[7]Caledonia!T39</f>
        <v>34407.377806973156</v>
      </c>
      <c r="S36" s="1088">
        <f>[7]Caledonia!U39</f>
        <v>34792.883896894011</v>
      </c>
      <c r="T36" s="1088">
        <f>[7]Caledonia!V39</f>
        <v>35182.10245885983</v>
      </c>
      <c r="U36" s="1088">
        <f>[7]Caledonia!W39</f>
        <v>35567.775342033819</v>
      </c>
      <c r="V36" s="1088">
        <f>[7]Caledonia!X39</f>
        <v>35819.007589483997</v>
      </c>
      <c r="W36" s="1088">
        <f>[7]Caledonia!Y39</f>
        <v>36008.959370344746</v>
      </c>
      <c r="X36" s="1088">
        <f>[7]Caledonia!Z39</f>
        <v>36493.865495632352</v>
      </c>
      <c r="Y36" s="1079"/>
    </row>
    <row r="37" spans="1:25">
      <c r="A37" s="1087" t="s">
        <v>674</v>
      </c>
      <c r="B37" s="624"/>
      <c r="C37" s="1156">
        <f>'Book Income Statement'!D61</f>
        <v>8065.3165214705841</v>
      </c>
      <c r="D37" s="1156">
        <f>'Book Income Statement'!E61</f>
        <v>19235.428289961183</v>
      </c>
      <c r="E37" s="1156">
        <f>'Book Income Statement'!F61</f>
        <v>19490.980265740011</v>
      </c>
      <c r="F37" s="1156">
        <f>'Book Income Statement'!G61</f>
        <v>19444.865974308334</v>
      </c>
      <c r="G37" s="1156">
        <f>'Book Income Statement'!H61</f>
        <v>25069.793729964076</v>
      </c>
      <c r="H37" s="1156">
        <f>'Book Income Statement'!I61</f>
        <v>29449.203233182961</v>
      </c>
      <c r="I37" s="1156">
        <f>'Book Income Statement'!J61</f>
        <v>29763.7241658887</v>
      </c>
      <c r="J37" s="1156">
        <f>'Book Income Statement'!K61</f>
        <v>30075.049878797887</v>
      </c>
      <c r="K37" s="1156">
        <f>'Book Income Statement'!L61</f>
        <v>31007.898898001091</v>
      </c>
      <c r="L37" s="1156">
        <f>'Book Income Statement'!M61</f>
        <v>31318.238992446946</v>
      </c>
      <c r="M37" s="1156">
        <f>'Book Income Statement'!N61</f>
        <v>32292.932313672438</v>
      </c>
      <c r="N37" s="1156">
        <f>'Book Income Statement'!O61</f>
        <v>31807.837359711353</v>
      </c>
      <c r="O37" s="1156">
        <f>'Book Income Statement'!P61</f>
        <v>32880.869021565675</v>
      </c>
      <c r="P37" s="1156">
        <f>'Book Income Statement'!Q61</f>
        <v>33268.661484746095</v>
      </c>
      <c r="Q37" s="1156">
        <f>'Book Income Statement'!R61</f>
        <v>33643.145025244346</v>
      </c>
      <c r="R37" s="1156">
        <f>'Book Income Statement'!S61</f>
        <v>34003.261957633273</v>
      </c>
      <c r="S37" s="1156">
        <f>'Book Income Statement'!T61</f>
        <v>34381.185761776818</v>
      </c>
      <c r="T37" s="1156">
        <f>'Book Income Statement'!U61</f>
        <v>34759.112324795438</v>
      </c>
      <c r="U37" s="1156">
        <f>'Book Income Statement'!V61</f>
        <v>35119.181694687373</v>
      </c>
      <c r="V37" s="1156">
        <f>'Book Income Statement'!W61</f>
        <v>35360.269155525275</v>
      </c>
      <c r="W37" s="1156">
        <f>'Book Income Statement'!X61</f>
        <v>35530.961374348</v>
      </c>
      <c r="X37" s="1156">
        <f>'Book Income Statement'!Y61</f>
        <v>0</v>
      </c>
      <c r="Y37" s="1079"/>
    </row>
    <row r="38" spans="1:25">
      <c r="A38" s="1087"/>
      <c r="B38" s="624"/>
      <c r="C38" s="1088">
        <f>C36-C37</f>
        <v>-3222.1976213959806</v>
      </c>
      <c r="D38" s="1088">
        <f t="shared" ref="D38:Y38" si="1">D36-D37</f>
        <v>14.848177045983903</v>
      </c>
      <c r="E38" s="1088">
        <f t="shared" si="1"/>
        <v>97.646106208932906</v>
      </c>
      <c r="F38" s="1088">
        <f t="shared" si="1"/>
        <v>96.888421665789792</v>
      </c>
      <c r="G38" s="1088">
        <f t="shared" si="1"/>
        <v>202.36036936875462</v>
      </c>
      <c r="H38" s="1088">
        <f t="shared" si="1"/>
        <v>286.99182008546268</v>
      </c>
      <c r="I38" s="1088">
        <f t="shared" si="1"/>
        <v>292.45976483277627</v>
      </c>
      <c r="J38" s="1088">
        <f t="shared" si="1"/>
        <v>297.84867205219052</v>
      </c>
      <c r="K38" s="1088">
        <f t="shared" si="1"/>
        <v>311.05969719002678</v>
      </c>
      <c r="L38" s="1088">
        <f t="shared" si="1"/>
        <v>316.54402965583722</v>
      </c>
      <c r="M38" s="1088">
        <f t="shared" si="1"/>
        <v>330.29845846033641</v>
      </c>
      <c r="N38" s="1088">
        <f t="shared" si="1"/>
        <v>353.71340841367055</v>
      </c>
      <c r="O38" s="1088">
        <f t="shared" si="1"/>
        <v>374.00709210077912</v>
      </c>
      <c r="P38" s="1088">
        <f t="shared" si="1"/>
        <v>385.38234625537007</v>
      </c>
      <c r="Q38" s="1088">
        <f t="shared" si="1"/>
        <v>396.64584400759486</v>
      </c>
      <c r="R38" s="1088">
        <f t="shared" si="1"/>
        <v>404.11584933988343</v>
      </c>
      <c r="S38" s="1088">
        <f t="shared" si="1"/>
        <v>411.69813511719258</v>
      </c>
      <c r="T38" s="1088">
        <f t="shared" si="1"/>
        <v>422.9901340643919</v>
      </c>
      <c r="U38" s="1088">
        <f t="shared" si="1"/>
        <v>448.59364734644623</v>
      </c>
      <c r="V38" s="1088">
        <f t="shared" si="1"/>
        <v>458.73843395872245</v>
      </c>
      <c r="W38" s="1088">
        <f t="shared" si="1"/>
        <v>477.99799599674589</v>
      </c>
      <c r="X38" s="1088">
        <f t="shared" si="1"/>
        <v>36493.865495632352</v>
      </c>
      <c r="Y38" s="1157">
        <f t="shared" si="1"/>
        <v>0</v>
      </c>
    </row>
    <row r="39" spans="1:25">
      <c r="A39" s="1087"/>
      <c r="B39" s="624"/>
      <c r="C39" s="624"/>
      <c r="D39" s="624"/>
      <c r="E39" s="624"/>
      <c r="F39" s="624"/>
      <c r="G39" s="624"/>
      <c r="H39" s="624"/>
      <c r="I39" s="624"/>
      <c r="J39" s="624"/>
      <c r="K39" s="624"/>
      <c r="L39" s="624"/>
      <c r="M39" s="624"/>
      <c r="N39" s="624"/>
      <c r="O39" s="624"/>
      <c r="P39" s="624"/>
      <c r="Q39" s="624"/>
      <c r="R39" s="624"/>
      <c r="S39" s="624"/>
      <c r="T39" s="624"/>
      <c r="U39" s="624"/>
      <c r="V39" s="624"/>
      <c r="W39" s="624"/>
      <c r="X39" s="624"/>
      <c r="Y39" s="1079"/>
    </row>
    <row r="40" spans="1:25">
      <c r="A40" s="1087" t="s">
        <v>671</v>
      </c>
      <c r="B40" s="624"/>
      <c r="C40" s="1088">
        <f>[7]Caledonia!E32</f>
        <v>38.217792166695666</v>
      </c>
      <c r="D40" s="1088">
        <f>[7]Caledonia!F32</f>
        <v>231.67095668254663</v>
      </c>
      <c r="E40" s="1088">
        <f>[7]Caledonia!G32</f>
        <v>152.87116866678267</v>
      </c>
      <c r="F40" s="1088">
        <f>[7]Caledonia!H32</f>
        <v>152.87116866678267</v>
      </c>
      <c r="G40" s="1088">
        <f>[7]Caledonia!I32</f>
        <v>152.87116866678267</v>
      </c>
      <c r="H40" s="1088">
        <f>[7]Caledonia!J32</f>
        <v>144.81645769496484</v>
      </c>
      <c r="I40" s="1088">
        <f>[7]Caledonia!K32</f>
        <v>144.81645769496484</v>
      </c>
      <c r="J40" s="1088">
        <f>[7]Caledonia!L32</f>
        <v>144.81645769496484</v>
      </c>
      <c r="K40" s="1088">
        <f>[7]Caledonia!M32</f>
        <v>144.81645769496484</v>
      </c>
      <c r="L40" s="1088">
        <f>[7]Caledonia!N32</f>
        <v>144.81645769496484</v>
      </c>
      <c r="M40" s="1088">
        <f>[7]Caledonia!O32</f>
        <v>144.81645769496484</v>
      </c>
      <c r="N40" s="1088">
        <f>[7]Caledonia!P32</f>
        <v>130.19971542561183</v>
      </c>
      <c r="O40" s="1088">
        <f>[7]Caledonia!Q32</f>
        <v>124.08692857714026</v>
      </c>
      <c r="P40" s="1088">
        <f>[7]Caledonia!R32</f>
        <v>118.1149674206798</v>
      </c>
      <c r="Q40" s="1088">
        <f>[7]Caledonia!S32</f>
        <v>112.15166907184665</v>
      </c>
      <c r="R40" s="1088">
        <f>[7]Caledonia!T32</f>
        <v>109.82213598638785</v>
      </c>
      <c r="S40" s="1088">
        <f>[7]Caledonia!U32</f>
        <v>107.13089780175436</v>
      </c>
      <c r="T40" s="1088">
        <f>[7]Caledonia!V32</f>
        <v>100.57565011259788</v>
      </c>
      <c r="U40" s="1088">
        <f>[7]Caledonia!W32</f>
        <v>79.735564151217289</v>
      </c>
      <c r="V40" s="1088">
        <f>[7]Caledonia!X32</f>
        <v>74.378170853712902</v>
      </c>
      <c r="W40" s="1088">
        <f>[7]Caledonia!Y32</f>
        <v>60.0297752113987</v>
      </c>
      <c r="X40" s="1088">
        <f>[7]Caledonia!Z32</f>
        <v>60.0297752113987</v>
      </c>
      <c r="Y40" s="1088">
        <f>[7]Caledonia!AA32</f>
        <v>0</v>
      </c>
    </row>
    <row r="41" spans="1:25">
      <c r="A41" s="1087" t="s">
        <v>672</v>
      </c>
      <c r="B41" s="624"/>
      <c r="C41" s="1156">
        <f>-[7]Caledonia!E19</f>
        <v>-59.791591358945723</v>
      </c>
      <c r="D41" s="1156">
        <f>-[7]Caledonia!F19</f>
        <v>-237.65773416058232</v>
      </c>
      <c r="E41" s="1156">
        <f>-[7]Caledonia!G19</f>
        <v>-241.83489348085115</v>
      </c>
      <c r="F41" s="1156">
        <f>-[7]Caledonia!H19</f>
        <v>-241.25622711079166</v>
      </c>
      <c r="G41" s="1156">
        <f>-[7]Caledonia!I19</f>
        <v>-312.00190246089915</v>
      </c>
      <c r="H41" s="1156">
        <f>-[7]Caledonia!J19</f>
        <v>-367.11351917615337</v>
      </c>
      <c r="I41" s="1156">
        <f>-[7]Caledonia!K19</f>
        <v>-371.06399914470961</v>
      </c>
      <c r="J41" s="1156">
        <f>-[7]Caledonia!L19</f>
        <v>-374.97405618333437</v>
      </c>
      <c r="K41" s="1156">
        <f>-[7]Caledonia!M19</f>
        <v>-386.65380981717431</v>
      </c>
      <c r="L41" s="1156">
        <f>-[7]Caledonia!N19</f>
        <v>-390.55287681608382</v>
      </c>
      <c r="M41" s="1156">
        <f>-[7]Caledonia!O19</f>
        <v>-402.75593545842935</v>
      </c>
      <c r="N41" s="1156">
        <f>-[7]Caledonia!P19</f>
        <v>-397.05618232253119</v>
      </c>
      <c r="O41" s="1156">
        <f>-[7]Caledonia!Q19</f>
        <v>-410.55402609464767</v>
      </c>
      <c r="P41" s="1156">
        <f>-[7]Caledonia!R19</f>
        <v>-415.4820226049564</v>
      </c>
      <c r="Q41" s="1156">
        <f>-[7]Caledonia!S19</f>
        <v>-420.24433171915985</v>
      </c>
      <c r="R41" s="1156">
        <f>-[7]Caledonia!T19</f>
        <v>-424.78244206139698</v>
      </c>
      <c r="S41" s="1156">
        <f>-[7]Caledonia!U19</f>
        <v>-429.5417765048644</v>
      </c>
      <c r="T41" s="1156">
        <f>-[7]Caledonia!V19</f>
        <v>-434.34694393654109</v>
      </c>
      <c r="U41" s="1156">
        <f>-[7]Caledonia!W19</f>
        <v>-439.10833755597309</v>
      </c>
      <c r="V41" s="1156">
        <f>-[7]Caledonia!X19</f>
        <v>-442.20997024054316</v>
      </c>
      <c r="W41" s="1156">
        <f>-[7]Caledonia!Y19</f>
        <v>-444.55505395487347</v>
      </c>
      <c r="X41" s="1156">
        <f>-[7]Caledonia!Z19</f>
        <v>-450.54154932879447</v>
      </c>
      <c r="Y41" s="1156">
        <f>-[7]Caledonia!AA19</f>
        <v>0</v>
      </c>
    </row>
    <row r="42" spans="1:25">
      <c r="A42" s="1080" t="s">
        <v>673</v>
      </c>
      <c r="B42" s="1158"/>
      <c r="C42" s="1159">
        <f>C38+C40+C41</f>
        <v>-3243.7714205882307</v>
      </c>
      <c r="D42" s="1159">
        <f t="shared" ref="D42:Y42" si="2">D38+D40+D41</f>
        <v>8.8613995679482116</v>
      </c>
      <c r="E42" s="1159">
        <f t="shared" si="2"/>
        <v>8.6823813948644215</v>
      </c>
      <c r="F42" s="1159">
        <f t="shared" si="2"/>
        <v>8.503363221780802</v>
      </c>
      <c r="G42" s="1159">
        <f t="shared" si="2"/>
        <v>43.22963557463811</v>
      </c>
      <c r="H42" s="1159">
        <f t="shared" si="2"/>
        <v>64.694758604274114</v>
      </c>
      <c r="I42" s="1159">
        <f t="shared" si="2"/>
        <v>66.212223383031471</v>
      </c>
      <c r="J42" s="1159">
        <f t="shared" si="2"/>
        <v>67.691073563820964</v>
      </c>
      <c r="K42" s="1159">
        <f t="shared" si="2"/>
        <v>69.222345067817287</v>
      </c>
      <c r="L42" s="1159">
        <f t="shared" si="2"/>
        <v>70.807610534718208</v>
      </c>
      <c r="M42" s="1159">
        <f t="shared" si="2"/>
        <v>72.358980696871868</v>
      </c>
      <c r="N42" s="1159">
        <f t="shared" si="2"/>
        <v>86.856941516751192</v>
      </c>
      <c r="O42" s="1159">
        <f t="shared" si="2"/>
        <v>87.539994583271721</v>
      </c>
      <c r="P42" s="1159">
        <f t="shared" si="2"/>
        <v>88.015291071093486</v>
      </c>
      <c r="Q42" s="1159">
        <f t="shared" si="2"/>
        <v>88.553181360281656</v>
      </c>
      <c r="R42" s="1159">
        <f t="shared" si="2"/>
        <v>89.155543264874268</v>
      </c>
      <c r="S42" s="1159">
        <f t="shared" si="2"/>
        <v>89.287256414082549</v>
      </c>
      <c r="T42" s="1159">
        <f t="shared" si="2"/>
        <v>89.218840240448742</v>
      </c>
      <c r="U42" s="1159">
        <f t="shared" si="2"/>
        <v>89.220873941690456</v>
      </c>
      <c r="V42" s="1159">
        <f t="shared" si="2"/>
        <v>90.906634571892141</v>
      </c>
      <c r="W42" s="1159">
        <f t="shared" si="2"/>
        <v>93.472717253271128</v>
      </c>
      <c r="X42" s="1159">
        <f t="shared" si="2"/>
        <v>36103.353721514955</v>
      </c>
      <c r="Y42" s="1160">
        <f t="shared" si="2"/>
        <v>0</v>
      </c>
    </row>
  </sheetData>
  <pageMargins left="0.75" right="0.75" top="1" bottom="1" header="0.5" footer="0.5"/>
  <pageSetup scale="58"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107"/>
  <sheetViews>
    <sheetView topLeftCell="A45" zoomScale="85" zoomScaleNormal="85" workbookViewId="0">
      <selection activeCell="C33" sqref="C33"/>
    </sheetView>
  </sheetViews>
  <sheetFormatPr defaultColWidth="9.28515625" defaultRowHeight="12"/>
  <cols>
    <col min="1" max="1" width="34.7109375" style="211" bestFit="1" customWidth="1"/>
    <col min="2" max="2" width="8.7109375" style="211" bestFit="1" customWidth="1"/>
    <col min="3" max="3" width="11.42578125" style="211" bestFit="1" customWidth="1"/>
    <col min="4" max="4" width="5.5703125" style="211" customWidth="1"/>
    <col min="5" max="5" width="23.5703125" style="211" customWidth="1"/>
    <col min="6" max="6" width="11.28515625" style="211" bestFit="1" customWidth="1"/>
    <col min="7" max="7" width="11.42578125" style="211" customWidth="1"/>
    <col min="8" max="8" width="12" style="211" customWidth="1"/>
    <col min="9" max="9" width="10.7109375" style="211" bestFit="1" customWidth="1"/>
    <col min="10" max="10" width="4.85546875" style="211" customWidth="1"/>
    <col min="11" max="11" width="19" style="211" customWidth="1"/>
    <col min="12" max="12" width="12.85546875" style="211" customWidth="1"/>
    <col min="13" max="13" width="10.28515625" style="211" customWidth="1"/>
    <col min="14" max="14" width="11.42578125" style="211" customWidth="1"/>
    <col min="15" max="15" width="8.5703125" style="211" customWidth="1"/>
    <col min="16" max="16" width="11.7109375" style="26" customWidth="1"/>
    <col min="17" max="17" width="4.85546875" style="26" customWidth="1"/>
    <col min="18" max="18" width="16.28515625" style="26" customWidth="1"/>
    <col min="19" max="16384" width="9.28515625" style="26"/>
  </cols>
  <sheetData>
    <row r="1" spans="1:21" ht="15.75">
      <c r="B1" s="212"/>
      <c r="E1" s="507" t="str">
        <f>IF(ABS(Loop)&gt;0.1,"***Run Franchise Tax!***","")</f>
        <v/>
      </c>
    </row>
    <row r="2" spans="1:21" ht="20.25">
      <c r="A2" s="1176" t="s">
        <v>373</v>
      </c>
      <c r="B2" s="1176"/>
      <c r="C2" s="1176"/>
      <c r="D2" s="1176"/>
      <c r="E2" s="1176"/>
      <c r="F2" s="1176"/>
      <c r="G2" s="1176"/>
      <c r="H2" s="1176"/>
      <c r="I2" s="1176"/>
      <c r="J2" s="1176"/>
      <c r="K2" s="1176"/>
      <c r="L2" s="1176"/>
      <c r="M2" s="1176"/>
      <c r="N2" s="1176"/>
      <c r="O2" s="1045"/>
      <c r="P2" s="1046"/>
      <c r="Q2" s="1046"/>
      <c r="R2" s="1046"/>
      <c r="S2" s="1046"/>
      <c r="T2" s="1046"/>
      <c r="U2" s="1046"/>
    </row>
    <row r="3" spans="1:21" ht="13.9" customHeight="1">
      <c r="A3" s="1177" t="s">
        <v>382</v>
      </c>
      <c r="B3" s="1177"/>
      <c r="C3" s="1177"/>
      <c r="D3" s="1177"/>
      <c r="E3" s="1177"/>
      <c r="F3" s="1177"/>
      <c r="G3" s="1177"/>
      <c r="H3" s="1177"/>
      <c r="I3" s="1177"/>
      <c r="J3" s="1177"/>
      <c r="K3" s="1177"/>
      <c r="L3" s="1177"/>
      <c r="M3" s="1177"/>
      <c r="N3" s="1177"/>
    </row>
    <row r="4" spans="1:21" ht="13.9" customHeight="1">
      <c r="A4" s="1178" t="str">
        <f ca="1">CONCATENATE("File Location: ",CELL("filename"))</f>
        <v>File Location: C:\Users\Felienne\Enron\EnronSpreadsheets\[benjamin_rogers__1294__Caledonia.xlsx]Tracker</v>
      </c>
      <c r="B4" s="1178"/>
      <c r="C4" s="1178"/>
      <c r="D4" s="1178"/>
      <c r="E4" s="1178"/>
      <c r="F4" s="1178"/>
      <c r="G4" s="1178"/>
      <c r="H4" s="1178"/>
      <c r="I4" s="1178"/>
      <c r="J4" s="1178"/>
      <c r="K4" s="1178"/>
      <c r="L4" s="1178"/>
      <c r="M4" s="1178"/>
      <c r="N4" s="1178"/>
    </row>
    <row r="5" spans="1:21" ht="15.75">
      <c r="A5" s="541" t="s">
        <v>102</v>
      </c>
      <c r="B5" s="542"/>
      <c r="C5" s="543"/>
      <c r="E5" s="541" t="s">
        <v>11</v>
      </c>
      <c r="F5" s="542"/>
      <c r="G5" s="542"/>
      <c r="H5" s="542"/>
      <c r="I5" s="545"/>
      <c r="K5" s="551" t="s">
        <v>606</v>
      </c>
      <c r="L5" s="554"/>
      <c r="M5" s="554"/>
      <c r="N5" s="542"/>
      <c r="O5" s="542"/>
      <c r="P5" s="555"/>
      <c r="R5" s="541" t="s">
        <v>261</v>
      </c>
      <c r="S5" s="542"/>
      <c r="T5" s="542"/>
      <c r="U5" s="543"/>
    </row>
    <row r="6" spans="1:21" ht="15.75">
      <c r="A6" s="539"/>
      <c r="B6" s="219"/>
      <c r="C6" s="237"/>
      <c r="E6" s="539"/>
      <c r="F6" s="219"/>
      <c r="G6" s="219"/>
      <c r="H6" s="219"/>
      <c r="I6" s="544"/>
      <c r="K6" s="248"/>
      <c r="M6" s="1054" t="s">
        <v>456</v>
      </c>
      <c r="N6" s="1055">
        <v>1999</v>
      </c>
      <c r="P6" s="140"/>
      <c r="R6" s="216" t="s">
        <v>115</v>
      </c>
      <c r="S6" s="219"/>
      <c r="T6" s="219"/>
      <c r="U6" s="1110">
        <v>0.15</v>
      </c>
    </row>
    <row r="7" spans="1:21" ht="24.75">
      <c r="A7" s="240" t="s">
        <v>60</v>
      </c>
      <c r="B7" s="219"/>
      <c r="C7" s="237"/>
      <c r="E7" s="216" t="s">
        <v>259</v>
      </c>
      <c r="F7" s="219"/>
      <c r="G7" s="219"/>
      <c r="H7" s="219"/>
      <c r="I7" s="568" t="s">
        <v>290</v>
      </c>
      <c r="K7" s="512"/>
      <c r="L7" s="1125" t="s">
        <v>599</v>
      </c>
      <c r="M7" s="513" t="s">
        <v>600</v>
      </c>
      <c r="N7" s="513" t="s">
        <v>350</v>
      </c>
      <c r="O7" s="219"/>
      <c r="P7" s="1047" t="s">
        <v>545</v>
      </c>
      <c r="R7" s="248" t="s">
        <v>374</v>
      </c>
      <c r="S7" s="219"/>
      <c r="T7" s="219"/>
      <c r="U7" s="1111">
        <f>Depreciation!C48</f>
        <v>0.65450000000000008</v>
      </c>
    </row>
    <row r="8" spans="1:21">
      <c r="A8" s="216" t="s">
        <v>13</v>
      </c>
      <c r="B8" s="217">
        <f>C8/C10</f>
        <v>0.23957107562198707</v>
      </c>
      <c r="C8" s="218">
        <f>C50-C9</f>
        <v>37076.97100000002</v>
      </c>
      <c r="E8" s="216" t="s">
        <v>12</v>
      </c>
      <c r="F8" s="219"/>
      <c r="G8" s="219"/>
      <c r="H8" s="220"/>
      <c r="I8" s="567">
        <v>6</v>
      </c>
      <c r="K8" s="221" t="s">
        <v>371</v>
      </c>
      <c r="L8" s="223">
        <f>45000/1000</f>
        <v>45</v>
      </c>
      <c r="M8" s="514">
        <f>NetMW*AnnualHours</f>
        <v>530400</v>
      </c>
      <c r="N8" s="222">
        <f>WaterOM/M8*1000</f>
        <v>8.4841628959276008E-2</v>
      </c>
      <c r="O8" s="219"/>
      <c r="P8" s="1048">
        <f>AVERAGE('Book Income Statement'!E25:H25)</f>
        <v>50.638238064028606</v>
      </c>
      <c r="R8" s="216" t="s">
        <v>117</v>
      </c>
      <c r="S8" s="244"/>
      <c r="T8" s="286"/>
      <c r="U8" s="1112">
        <v>4.897E-2</v>
      </c>
    </row>
    <row r="9" spans="1:21">
      <c r="A9" s="216" t="s">
        <v>14</v>
      </c>
      <c r="B9" s="217">
        <f>C9/C10</f>
        <v>0.7604289243780129</v>
      </c>
      <c r="C9" s="577">
        <f>IF(I35="Normal",I38,I39)</f>
        <v>117687</v>
      </c>
      <c r="E9" s="216" t="s">
        <v>692</v>
      </c>
      <c r="F9" s="219"/>
      <c r="G9" s="219"/>
      <c r="H9" s="224"/>
      <c r="I9" s="1171">
        <v>503.6</v>
      </c>
      <c r="K9" s="221" t="s">
        <v>419</v>
      </c>
      <c r="L9" s="227">
        <v>1</v>
      </c>
      <c r="M9" s="514">
        <f>NetMW*AnnualHours</f>
        <v>530400</v>
      </c>
      <c r="N9" s="226">
        <v>0.05</v>
      </c>
      <c r="O9" s="219"/>
      <c r="P9" s="1048">
        <f>AVERAGE('Book Income Statement'!E26:H26)</f>
        <v>29.842801632400864</v>
      </c>
      <c r="R9" s="248" t="s">
        <v>118</v>
      </c>
      <c r="S9" s="219"/>
      <c r="T9" s="219"/>
      <c r="U9" s="340">
        <v>10</v>
      </c>
    </row>
    <row r="10" spans="1:21">
      <c r="A10" s="216" t="s">
        <v>15</v>
      </c>
      <c r="B10" s="229"/>
      <c r="C10" s="540">
        <f>SUM(C8:C9)</f>
        <v>154763.97100000002</v>
      </c>
      <c r="E10" s="216" t="s">
        <v>418</v>
      </c>
      <c r="G10" s="1144">
        <v>1999</v>
      </c>
      <c r="H10" s="219" t="s">
        <v>649</v>
      </c>
      <c r="I10" s="1136">
        <v>442</v>
      </c>
      <c r="K10" s="221" t="s">
        <v>370</v>
      </c>
      <c r="L10" s="515">
        <v>400.6</v>
      </c>
      <c r="M10" s="514">
        <f>NetMW*AnnualHours</f>
        <v>530400</v>
      </c>
      <c r="N10" s="516">
        <f>Variable/M10*1000</f>
        <v>0.75527903469079949</v>
      </c>
      <c r="O10" s="219"/>
      <c r="P10" s="1049">
        <f>AVERAGE('Book Income Statement'!E27:H27)</f>
        <v>450.79284818777472</v>
      </c>
      <c r="R10" s="248" t="s">
        <v>375</v>
      </c>
      <c r="S10" s="219"/>
      <c r="T10" s="219"/>
      <c r="U10" s="1113">
        <f>1/3</f>
        <v>0.33333333333333331</v>
      </c>
    </row>
    <row r="11" spans="1:21">
      <c r="A11" s="236"/>
      <c r="B11" s="229" t="s">
        <v>505</v>
      </c>
      <c r="C11" s="578">
        <f>B8*I59+B9*I41</f>
        <v>8.7796301892512182E-2</v>
      </c>
      <c r="E11" s="216" t="s">
        <v>650</v>
      </c>
      <c r="F11" s="219"/>
      <c r="G11" s="1148">
        <v>36647</v>
      </c>
      <c r="H11" s="1145" t="s">
        <v>651</v>
      </c>
      <c r="I11" s="1136">
        <f>NetMW+15</f>
        <v>457</v>
      </c>
      <c r="K11" s="232" t="s">
        <v>566</v>
      </c>
      <c r="L11" s="234">
        <f>SUM(L8:L10)</f>
        <v>446.6</v>
      </c>
      <c r="M11" s="260"/>
      <c r="N11" s="233">
        <f>SUM(N8:N10)</f>
        <v>0.89012066365007547</v>
      </c>
      <c r="O11" s="235"/>
      <c r="P11" s="1050">
        <f>AVERAGE('Book Income Statement'!E28:H28)</f>
        <v>531.27388788420421</v>
      </c>
      <c r="Q11" s="40"/>
      <c r="R11" s="216" t="s">
        <v>116</v>
      </c>
      <c r="S11" s="219"/>
      <c r="T11" s="219"/>
      <c r="U11" s="1112">
        <v>5.0160000000000003E-2</v>
      </c>
    </row>
    <row r="12" spans="1:21" ht="15">
      <c r="A12" s="240" t="s">
        <v>61</v>
      </c>
      <c r="B12" s="229"/>
      <c r="C12" s="237"/>
      <c r="E12" s="216" t="s">
        <v>636</v>
      </c>
      <c r="F12" s="1139">
        <v>0.02</v>
      </c>
      <c r="G12" s="219" t="s">
        <v>637</v>
      </c>
      <c r="H12" s="1140"/>
      <c r="I12" s="1141">
        <f>NetMW_New*(1-F12)</f>
        <v>447.86</v>
      </c>
      <c r="N12" s="239"/>
      <c r="P12" s="150"/>
      <c r="R12" s="361" t="s">
        <v>282</v>
      </c>
      <c r="S12" s="357"/>
      <c r="T12" s="362"/>
      <c r="U12" s="340">
        <v>10</v>
      </c>
    </row>
    <row r="13" spans="1:21" ht="15.75">
      <c r="A13" s="242" t="s">
        <v>103</v>
      </c>
      <c r="B13" s="229"/>
      <c r="C13" s="237"/>
      <c r="E13" s="230" t="s">
        <v>24</v>
      </c>
      <c r="F13" s="219"/>
      <c r="G13" s="219"/>
      <c r="H13" s="220"/>
      <c r="I13" s="231">
        <v>12064</v>
      </c>
      <c r="K13" s="1057" t="s">
        <v>548</v>
      </c>
      <c r="L13" s="1058"/>
      <c r="M13" s="554"/>
      <c r="N13" s="1059"/>
      <c r="O13" s="1060"/>
      <c r="P13" s="1061"/>
      <c r="R13" s="248" t="s">
        <v>376</v>
      </c>
      <c r="S13" s="219"/>
      <c r="T13" s="219"/>
      <c r="U13" s="1113">
        <f>1/3</f>
        <v>0.33333333333333331</v>
      </c>
    </row>
    <row r="14" spans="1:21" ht="24">
      <c r="A14" s="216" t="s">
        <v>394</v>
      </c>
      <c r="B14" s="245"/>
      <c r="C14" s="598">
        <v>101629.10799999999</v>
      </c>
      <c r="E14" s="216" t="s">
        <v>1</v>
      </c>
      <c r="F14" s="219"/>
      <c r="G14" s="219"/>
      <c r="H14" s="220"/>
      <c r="I14" s="238">
        <f>I15/8760</f>
        <v>0.13698630136986301</v>
      </c>
      <c r="K14" s="248"/>
      <c r="L14" s="1062" t="s">
        <v>549</v>
      </c>
      <c r="M14" s="1063" t="s">
        <v>550</v>
      </c>
      <c r="N14" s="549" t="s">
        <v>551</v>
      </c>
      <c r="O14" s="1094" t="s">
        <v>570</v>
      </c>
      <c r="P14" s="1052" t="s">
        <v>364</v>
      </c>
      <c r="R14" s="216" t="s">
        <v>266</v>
      </c>
      <c r="S14" s="219"/>
      <c r="T14" s="286"/>
      <c r="U14" s="1114">
        <v>0</v>
      </c>
    </row>
    <row r="15" spans="1:21" ht="12.75">
      <c r="A15" s="216" t="s">
        <v>395</v>
      </c>
      <c r="B15" s="245"/>
      <c r="C15" s="598">
        <v>10286.721</v>
      </c>
      <c r="E15" s="216" t="s">
        <v>96</v>
      </c>
      <c r="F15" s="219"/>
      <c r="G15" s="219"/>
      <c r="H15" s="241"/>
      <c r="I15" s="567">
        <v>1200</v>
      </c>
      <c r="J15" s="247"/>
      <c r="K15" s="221" t="s">
        <v>412</v>
      </c>
      <c r="L15" s="1064">
        <v>120</v>
      </c>
      <c r="M15" s="1065">
        <f>N15/(I8)</f>
        <v>1874</v>
      </c>
      <c r="N15" s="1065">
        <f>VLOOKUP(L15,Main_Table,2)</f>
        <v>11244</v>
      </c>
      <c r="O15" s="227">
        <f>Main_Start*L15/1000</f>
        <v>1349.28</v>
      </c>
      <c r="P15" s="1066">
        <v>0.03</v>
      </c>
      <c r="R15" s="366" t="s">
        <v>372</v>
      </c>
      <c r="S15" s="367"/>
      <c r="T15" s="368"/>
      <c r="U15" s="1115">
        <f>Depreciation!C57</f>
        <v>596.0367615181683</v>
      </c>
    </row>
    <row r="16" spans="1:21">
      <c r="A16" s="216" t="s">
        <v>405</v>
      </c>
      <c r="B16" s="245"/>
      <c r="C16" s="598">
        <v>29262.010999999999</v>
      </c>
      <c r="E16" s="216" t="s">
        <v>16</v>
      </c>
      <c r="F16" s="219"/>
      <c r="G16" s="219"/>
      <c r="H16" s="243"/>
      <c r="I16" s="594">
        <v>20</v>
      </c>
      <c r="K16" s="221" t="s">
        <v>552</v>
      </c>
      <c r="L16" s="1064">
        <v>120</v>
      </c>
      <c r="M16" s="1067">
        <f>N16/I8</f>
        <v>0</v>
      </c>
      <c r="N16" s="1067">
        <f>VLOOKUP(L16,Main_Table,3)</f>
        <v>0</v>
      </c>
      <c r="O16" s="1095">
        <f>Fuel_Start*L16/1000</f>
        <v>0</v>
      </c>
      <c r="P16" s="1068"/>
    </row>
    <row r="17" spans="1:23" ht="15.75">
      <c r="A17" s="248" t="s">
        <v>396</v>
      </c>
      <c r="B17" s="245"/>
      <c r="C17" s="598">
        <v>697</v>
      </c>
      <c r="E17" s="216" t="s">
        <v>20</v>
      </c>
      <c r="F17" s="219"/>
      <c r="G17" s="219"/>
      <c r="H17" s="224"/>
      <c r="I17" s="246">
        <v>36373</v>
      </c>
      <c r="K17" s="1069"/>
      <c r="L17" s="1070"/>
      <c r="M17" s="1071">
        <f>SUM(M15:M16)</f>
        <v>1874</v>
      </c>
      <c r="N17" s="1071">
        <f>SUM(N15:N16)</f>
        <v>11244</v>
      </c>
      <c r="O17" s="1096">
        <f>SUM(O15:O16)</f>
        <v>1349.28</v>
      </c>
      <c r="P17" s="1050"/>
      <c r="R17" s="541" t="s">
        <v>262</v>
      </c>
      <c r="S17" s="542"/>
      <c r="T17" s="542"/>
      <c r="U17" s="543"/>
    </row>
    <row r="18" spans="1:23">
      <c r="A18" s="216" t="s">
        <v>114</v>
      </c>
      <c r="B18" s="245"/>
      <c r="C18" s="599">
        <v>557.69299999999998</v>
      </c>
      <c r="E18" s="216" t="s">
        <v>406</v>
      </c>
      <c r="F18" s="219"/>
      <c r="G18" s="219"/>
      <c r="H18" s="1163">
        <f>(YEAR(I18)-YEAR(StartDate))*12-MONTH(I18)-MONTH(StartDate)</f>
        <v>220</v>
      </c>
      <c r="I18" s="246">
        <v>43830</v>
      </c>
      <c r="N18" s="239"/>
      <c r="P18" s="150"/>
      <c r="R18" s="248" t="s">
        <v>43</v>
      </c>
      <c r="S18" s="219"/>
      <c r="T18" s="219"/>
      <c r="U18" s="299">
        <f>$C$8/'Book Income Statement'!$E$72</f>
        <v>11.007403450447621</v>
      </c>
    </row>
    <row r="19" spans="1:23" ht="15.75">
      <c r="A19" s="248" t="s">
        <v>228</v>
      </c>
      <c r="B19" s="261"/>
      <c r="C19" s="598">
        <v>981</v>
      </c>
      <c r="E19" s="249" t="s">
        <v>113</v>
      </c>
      <c r="F19" s="250" t="s">
        <v>283</v>
      </c>
      <c r="G19" s="251">
        <f>C50/I10</f>
        <v>350.14473076923082</v>
      </c>
      <c r="H19" s="250" t="s">
        <v>284</v>
      </c>
      <c r="I19" s="251">
        <f>(C50-C41)/I10</f>
        <v>350.14473076923082</v>
      </c>
      <c r="K19" s="551" t="s">
        <v>576</v>
      </c>
      <c r="L19" s="542"/>
      <c r="M19" s="542"/>
      <c r="N19" s="542"/>
      <c r="O19" s="542"/>
      <c r="P19" s="553"/>
      <c r="R19" s="248" t="s">
        <v>45</v>
      </c>
      <c r="S19" s="219"/>
      <c r="T19" s="219"/>
      <c r="U19" s="263">
        <v>30</v>
      </c>
      <c r="V19"/>
      <c r="W19"/>
    </row>
    <row r="20" spans="1:23" ht="12.75">
      <c r="A20" s="216" t="s">
        <v>227</v>
      </c>
      <c r="B20" s="264"/>
      <c r="C20" s="598">
        <v>3507.82</v>
      </c>
      <c r="E20" s="254"/>
      <c r="G20" s="255"/>
      <c r="H20" s="256"/>
      <c r="I20" s="257"/>
      <c r="K20" s="221" t="s">
        <v>366</v>
      </c>
      <c r="L20" s="244"/>
      <c r="M20" s="244"/>
      <c r="N20" s="569">
        <f>465690/1000</f>
        <v>465.69</v>
      </c>
      <c r="O20" s="219"/>
      <c r="P20" s="1048">
        <f>AVERAGE('Book Income Statement'!E37:H37)</f>
        <v>501.68036383972503</v>
      </c>
      <c r="R20" s="248" t="s">
        <v>46</v>
      </c>
      <c r="S20" s="219"/>
      <c r="T20" s="219"/>
      <c r="U20" s="356">
        <v>0.1</v>
      </c>
      <c r="V20"/>
      <c r="W20"/>
    </row>
    <row r="21" spans="1:23" ht="15.75">
      <c r="A21" s="248" t="s">
        <v>167</v>
      </c>
      <c r="B21" s="267">
        <v>7.0000000000000007E-2</v>
      </c>
      <c r="C21" s="599">
        <v>100</v>
      </c>
      <c r="E21" s="551" t="s">
        <v>601</v>
      </c>
      <c r="F21" s="1126"/>
      <c r="G21" s="1127"/>
      <c r="H21" s="1126"/>
      <c r="I21" s="1128"/>
      <c r="K21" s="248" t="s">
        <v>367</v>
      </c>
      <c r="L21" s="219"/>
      <c r="M21" s="219"/>
      <c r="N21" s="569">
        <f>235760/1000</f>
        <v>235.76</v>
      </c>
      <c r="O21" s="219"/>
      <c r="P21" s="1048">
        <f>AVERAGE('Book Income Statement'!E38:H38)</f>
        <v>253.98046464139998</v>
      </c>
      <c r="R21" s="249" t="s">
        <v>265</v>
      </c>
      <c r="S21" s="260"/>
      <c r="T21" s="260"/>
      <c r="U21" s="1013">
        <v>1.3490953938988963E-2</v>
      </c>
      <c r="V21"/>
      <c r="W21"/>
    </row>
    <row r="22" spans="1:23" ht="12.75">
      <c r="A22" s="216" t="s">
        <v>569</v>
      </c>
      <c r="B22" s="264"/>
      <c r="C22" s="1162">
        <v>136.036</v>
      </c>
      <c r="E22" s="248" t="s">
        <v>602</v>
      </c>
      <c r="F22" s="1129">
        <f>VariableMwh</f>
        <v>0.89012066365007547</v>
      </c>
      <c r="G22" s="1130" t="s">
        <v>603</v>
      </c>
      <c r="H22" s="219"/>
      <c r="I22" s="578">
        <v>0.03</v>
      </c>
      <c r="K22" s="221" t="s">
        <v>537</v>
      </c>
      <c r="L22" s="219"/>
      <c r="M22" s="219"/>
      <c r="N22" s="570">
        <f>NetMW/2890*1000</f>
        <v>152.94117647058826</v>
      </c>
      <c r="O22" s="219"/>
      <c r="P22" s="1048">
        <f>AVERAGE('Book Income Statement'!E39:H39)</f>
        <v>164.76107508823532</v>
      </c>
      <c r="V22"/>
      <c r="W22"/>
    </row>
    <row r="23" spans="1:23" ht="15.75">
      <c r="A23" s="216"/>
      <c r="B23" s="229"/>
      <c r="C23" s="272">
        <f>SUM(C14:C22)</f>
        <v>147157.389</v>
      </c>
      <c r="E23" s="248" t="s">
        <v>604</v>
      </c>
      <c r="F23" s="1149">
        <f>M17</f>
        <v>1874</v>
      </c>
      <c r="G23" s="1130" t="s">
        <v>605</v>
      </c>
      <c r="H23" s="219"/>
      <c r="I23" s="237"/>
      <c r="K23" s="221" t="s">
        <v>639</v>
      </c>
      <c r="L23" s="1143">
        <v>7.0000000000000007E-2</v>
      </c>
      <c r="M23" s="244" t="s">
        <v>640</v>
      </c>
      <c r="N23" s="570">
        <f>L23*(ISO_MW*(1-Deg_Rate)*12)</f>
        <v>414.56352000000004</v>
      </c>
      <c r="O23" s="219"/>
      <c r="P23" s="1048"/>
      <c r="R23" s="552" t="s">
        <v>444</v>
      </c>
      <c r="S23" s="542"/>
      <c r="T23" s="542"/>
      <c r="U23" s="543"/>
      <c r="V23"/>
      <c r="W23"/>
    </row>
    <row r="24" spans="1:23" ht="12.75">
      <c r="A24" s="248"/>
      <c r="B24" s="219"/>
      <c r="C24" s="237"/>
      <c r="E24" s="249" t="s">
        <v>663</v>
      </c>
      <c r="F24" s="1150">
        <v>1</v>
      </c>
      <c r="G24" s="1131" t="s">
        <v>502</v>
      </c>
      <c r="H24" s="260" t="s">
        <v>664</v>
      </c>
      <c r="I24" s="1151">
        <v>0.02</v>
      </c>
      <c r="K24" s="252" t="s">
        <v>625</v>
      </c>
      <c r="L24" s="244"/>
      <c r="M24" s="253"/>
      <c r="N24" s="571">
        <f>200</f>
        <v>200</v>
      </c>
      <c r="O24" s="219"/>
      <c r="P24" s="1049">
        <f>AVERAGE('Book Income Statement'!E41:H41)</f>
        <v>215.45679049999998</v>
      </c>
      <c r="R24" s="248"/>
      <c r="S24" s="219"/>
      <c r="T24" s="219"/>
      <c r="U24" s="237"/>
      <c r="V24"/>
      <c r="W24"/>
    </row>
    <row r="25" spans="1:23" ht="12.75">
      <c r="A25" s="242" t="s">
        <v>104</v>
      </c>
      <c r="B25" s="229"/>
      <c r="C25" s="280"/>
      <c r="E25" s="254"/>
      <c r="G25" s="255"/>
      <c r="H25" s="256"/>
      <c r="I25" s="257"/>
      <c r="K25" s="232" t="s">
        <v>577</v>
      </c>
      <c r="L25" s="258"/>
      <c r="M25" s="259"/>
      <c r="N25" s="1053">
        <f>SUM(N20:N24)</f>
        <v>1468.9546964705883</v>
      </c>
      <c r="O25" s="260"/>
      <c r="P25" s="1050">
        <f>AVERAGE('Book Income Statement'!E42:H42)</f>
        <v>1196.3358740693602</v>
      </c>
      <c r="R25" s="248" t="s">
        <v>445</v>
      </c>
      <c r="S25" s="411" t="str">
        <f>IF(ABS(SUM(BS!D38:X38))&gt;0.1,"NO !!!!!!!","YES")</f>
        <v>YES</v>
      </c>
      <c r="T25" s="219"/>
      <c r="U25" s="237"/>
      <c r="V25"/>
      <c r="W25"/>
    </row>
    <row r="26" spans="1:23" ht="15.75">
      <c r="A26" s="216" t="s">
        <v>285</v>
      </c>
      <c r="B26" s="229"/>
      <c r="C26" s="599">
        <v>785.95399999999995</v>
      </c>
      <c r="E26" s="541" t="s">
        <v>258</v>
      </c>
      <c r="F26" s="542"/>
      <c r="G26" s="542"/>
      <c r="H26" s="542"/>
      <c r="I26" s="546"/>
      <c r="N26" s="239"/>
      <c r="P26" s="150"/>
      <c r="Q26" s="29"/>
      <c r="R26" s="248" t="s">
        <v>446</v>
      </c>
      <c r="S26" s="412">
        <f>Depreciation!B43</f>
        <v>157206.27800000002</v>
      </c>
      <c r="T26" s="219"/>
      <c r="U26" s="237"/>
      <c r="V26"/>
      <c r="W26"/>
    </row>
    <row r="27" spans="1:23" ht="15.75">
      <c r="A27" s="216" t="s">
        <v>392</v>
      </c>
      <c r="B27" s="282"/>
      <c r="C27" s="598">
        <v>568.57899999999995</v>
      </c>
      <c r="E27" s="262" t="s">
        <v>407</v>
      </c>
      <c r="F27" s="1144">
        <v>4</v>
      </c>
      <c r="G27" s="219" t="s">
        <v>660</v>
      </c>
      <c r="H27" s="219" t="s">
        <v>661</v>
      </c>
      <c r="I27" s="263">
        <v>5</v>
      </c>
      <c r="K27" s="551" t="s">
        <v>492</v>
      </c>
      <c r="L27" s="542"/>
      <c r="M27" s="542"/>
      <c r="N27" s="556"/>
      <c r="O27" s="542"/>
      <c r="P27" s="553"/>
      <c r="R27" s="413" t="s">
        <v>447</v>
      </c>
      <c r="S27" s="414">
        <f>C50</f>
        <v>154763.97100000002</v>
      </c>
      <c r="T27" s="219"/>
      <c r="U27" s="237"/>
      <c r="V27"/>
      <c r="W27"/>
    </row>
    <row r="28" spans="1:23" ht="24">
      <c r="A28" s="216" t="s">
        <v>278</v>
      </c>
      <c r="B28" s="229"/>
      <c r="C28" s="599">
        <v>237.35300000000001</v>
      </c>
      <c r="E28" s="262" t="s">
        <v>153</v>
      </c>
      <c r="F28" s="219"/>
      <c r="G28" s="219"/>
      <c r="H28" s="219"/>
      <c r="I28" s="265">
        <f>I10</f>
        <v>442</v>
      </c>
      <c r="K28" s="266" t="s">
        <v>238</v>
      </c>
      <c r="L28" s="219"/>
      <c r="M28" s="1054" t="s">
        <v>456</v>
      </c>
      <c r="N28" s="1055">
        <v>1999</v>
      </c>
      <c r="O28" s="219"/>
      <c r="P28" s="1047" t="s">
        <v>545</v>
      </c>
      <c r="R28" s="248" t="s">
        <v>448</v>
      </c>
      <c r="S28" s="415">
        <f>S27-S26</f>
        <v>-2442.3070000000007</v>
      </c>
      <c r="T28" s="219"/>
      <c r="U28" s="237"/>
      <c r="V28"/>
      <c r="W28"/>
    </row>
    <row r="29" spans="1:23" ht="12.75">
      <c r="A29" s="248" t="s">
        <v>277</v>
      </c>
      <c r="B29" s="286"/>
      <c r="C29" s="599">
        <v>224.923</v>
      </c>
      <c r="E29" s="268" t="s">
        <v>137</v>
      </c>
      <c r="F29" s="269"/>
      <c r="G29" s="269"/>
      <c r="H29" s="269"/>
      <c r="I29" s="225">
        <f>AnnualHours</f>
        <v>1200</v>
      </c>
      <c r="K29" s="221" t="s">
        <v>342</v>
      </c>
      <c r="L29" s="219"/>
      <c r="M29" s="219"/>
      <c r="N29" s="569">
        <v>10</v>
      </c>
      <c r="O29" s="270"/>
      <c r="P29" s="1048"/>
      <c r="R29" s="249" t="s">
        <v>478</v>
      </c>
      <c r="S29" s="375">
        <f>C41+C18</f>
        <v>557.69299999999998</v>
      </c>
      <c r="T29" s="260"/>
      <c r="U29" s="376"/>
      <c r="V29"/>
      <c r="W29"/>
    </row>
    <row r="30" spans="1:23">
      <c r="A30" s="216" t="s">
        <v>279</v>
      </c>
      <c r="B30" s="286"/>
      <c r="C30" s="599">
        <v>53.204000000000001</v>
      </c>
      <c r="E30" s="268" t="s">
        <v>340</v>
      </c>
      <c r="F30" s="269"/>
      <c r="G30" s="269"/>
      <c r="H30" s="269"/>
      <c r="I30" s="271">
        <v>4</v>
      </c>
      <c r="K30" s="221" t="s">
        <v>351</v>
      </c>
      <c r="L30" s="219"/>
      <c r="M30" s="219"/>
      <c r="N30" s="569">
        <v>53.76</v>
      </c>
      <c r="O30" s="270"/>
      <c r="P30" s="1048"/>
    </row>
    <row r="31" spans="1:23" ht="14.25">
      <c r="A31" s="216" t="s">
        <v>286</v>
      </c>
      <c r="B31" s="229"/>
      <c r="C31" s="599">
        <v>94.021000000000001</v>
      </c>
      <c r="E31" s="268" t="s">
        <v>256</v>
      </c>
      <c r="F31" s="269"/>
      <c r="G31" s="269"/>
      <c r="H31" s="269"/>
      <c r="I31" s="273">
        <v>0</v>
      </c>
      <c r="K31" s="221" t="s">
        <v>352</v>
      </c>
      <c r="L31" s="219"/>
      <c r="M31" s="219"/>
      <c r="N31" s="572">
        <v>192</v>
      </c>
      <c r="O31" s="270"/>
      <c r="P31" s="1049"/>
    </row>
    <row r="32" spans="1:23">
      <c r="A32" s="216" t="s">
        <v>393</v>
      </c>
      <c r="B32" s="229"/>
      <c r="C32" s="598">
        <v>741.63900000000001</v>
      </c>
      <c r="E32" s="249" t="s">
        <v>341</v>
      </c>
      <c r="F32" s="260"/>
      <c r="G32" s="260" t="s">
        <v>364</v>
      </c>
      <c r="H32" s="274">
        <v>0.03</v>
      </c>
      <c r="I32" s="275">
        <f>'PPA Assumptions &amp; Summary'!B63</f>
        <v>6.2769292917070736</v>
      </c>
      <c r="K32" s="221" t="s">
        <v>368</v>
      </c>
      <c r="L32" s="244"/>
      <c r="M32" s="276"/>
      <c r="N32" s="277">
        <f>SUM(N29:N31)</f>
        <v>255.76</v>
      </c>
      <c r="O32" s="219"/>
      <c r="P32" s="1048">
        <f>AVERAGE('Book Income Statement'!E45:H45)</f>
        <v>275.52614369139997</v>
      </c>
    </row>
    <row r="33" spans="1:16">
      <c r="A33" s="216" t="s">
        <v>477</v>
      </c>
      <c r="B33" s="282"/>
      <c r="C33" s="600">
        <v>883</v>
      </c>
      <c r="H33" s="278"/>
      <c r="I33" s="279"/>
      <c r="K33" s="221" t="s">
        <v>420</v>
      </c>
      <c r="L33" s="244"/>
      <c r="M33" s="244"/>
      <c r="N33" s="573">
        <f>43.608+0.50403</f>
        <v>44.112029999999997</v>
      </c>
      <c r="O33" s="219"/>
      <c r="P33" s="1048">
        <f>AVERAGE('Book Income Statement'!E46:H46)</f>
        <v>47.521182031198578</v>
      </c>
    </row>
    <row r="34" spans="1:16" ht="15.75">
      <c r="A34" s="248"/>
      <c r="B34" s="219"/>
      <c r="C34" s="301">
        <f>SUM(C26:C33)</f>
        <v>3588.6729999999998</v>
      </c>
      <c r="E34" s="541" t="s">
        <v>19</v>
      </c>
      <c r="F34" s="547"/>
      <c r="G34" s="542"/>
      <c r="H34" s="542"/>
      <c r="I34" s="543"/>
      <c r="K34" s="221" t="s">
        <v>421</v>
      </c>
      <c r="L34" s="244"/>
      <c r="M34" s="244"/>
      <c r="N34" s="573">
        <f>63.9576+174.2627</f>
        <v>238.22030000000001</v>
      </c>
      <c r="O34" s="219"/>
      <c r="P34" s="1048">
        <f>AVERAGE('Book Income Statement'!E47:H47)</f>
        <v>256.63090634973571</v>
      </c>
    </row>
    <row r="35" spans="1:16">
      <c r="A35" s="216" t="s">
        <v>138</v>
      </c>
      <c r="B35" s="229"/>
      <c r="C35" s="237"/>
      <c r="E35" s="248" t="s">
        <v>263</v>
      </c>
      <c r="F35" s="219"/>
      <c r="G35" s="219"/>
      <c r="H35" s="219"/>
      <c r="I35" s="281" t="s">
        <v>686</v>
      </c>
      <c r="K35" s="248" t="s">
        <v>10</v>
      </c>
      <c r="L35" s="219"/>
      <c r="M35" s="219"/>
      <c r="N35" s="570">
        <v>100</v>
      </c>
      <c r="O35" s="219"/>
      <c r="P35" s="1048">
        <f>AVERAGE('Book Income Statement'!E48:H48)</f>
        <v>107.72839524999999</v>
      </c>
    </row>
    <row r="36" spans="1:16">
      <c r="A36" s="216"/>
      <c r="B36" s="229"/>
      <c r="C36" s="307"/>
      <c r="E36" s="248"/>
      <c r="F36" s="219"/>
      <c r="G36" s="219"/>
      <c r="H36" s="219"/>
      <c r="I36" s="237"/>
      <c r="K36" s="248" t="s">
        <v>494</v>
      </c>
      <c r="L36" s="219"/>
      <c r="M36" s="219"/>
      <c r="N36" s="570">
        <v>30</v>
      </c>
      <c r="O36" s="219"/>
      <c r="P36" s="1048">
        <f>AVERAGE('Book Income Statement'!E49:H49)</f>
        <v>32.318518574999999</v>
      </c>
    </row>
    <row r="37" spans="1:16">
      <c r="A37" s="242" t="s">
        <v>105</v>
      </c>
      <c r="B37" s="229"/>
      <c r="C37" s="307"/>
      <c r="E37" s="248"/>
      <c r="F37" s="284" t="s">
        <v>108</v>
      </c>
      <c r="G37" s="284" t="s">
        <v>111</v>
      </c>
      <c r="H37" s="284" t="s">
        <v>182</v>
      </c>
      <c r="I37" s="285" t="s">
        <v>183</v>
      </c>
      <c r="K37" s="248" t="s">
        <v>9</v>
      </c>
      <c r="L37" s="219"/>
      <c r="M37" s="219"/>
      <c r="N37" s="283">
        <v>75</v>
      </c>
      <c r="O37" s="219"/>
      <c r="P37" s="1048">
        <f>AVERAGE('Book Income Statement'!E50:H50)</f>
        <v>80.79629643749999</v>
      </c>
    </row>
    <row r="38" spans="1:16">
      <c r="A38" s="216" t="s">
        <v>222</v>
      </c>
      <c r="B38" s="229"/>
      <c r="C38" s="225">
        <v>0</v>
      </c>
      <c r="E38" s="228" t="s">
        <v>184</v>
      </c>
      <c r="F38" s="287">
        <f>IF($I$35="Normal",'Debt Amortization'!B19,'Debt Amortization'!B76)</f>
        <v>0</v>
      </c>
      <c r="G38" s="288">
        <f>IF($I$35="Normal",'Debt Amortization'!B20,'Debt Amortization'!B92)</f>
        <v>0</v>
      </c>
      <c r="H38" s="288" t="str">
        <f>IF($I$35="Normal",'Debt Amortization'!B21,"N/A")</f>
        <v>N/A</v>
      </c>
      <c r="I38" s="595">
        <f>SUM(F38:H38)</f>
        <v>0</v>
      </c>
      <c r="K38" s="248" t="s">
        <v>546</v>
      </c>
      <c r="L38" s="219"/>
      <c r="M38" s="219"/>
      <c r="N38" s="289">
        <v>0</v>
      </c>
      <c r="O38" s="219"/>
      <c r="P38" s="1049">
        <v>0</v>
      </c>
    </row>
    <row r="39" spans="1:16">
      <c r="A39" s="216" t="s">
        <v>62</v>
      </c>
      <c r="B39" s="229"/>
      <c r="C39" s="225">
        <v>0</v>
      </c>
      <c r="E39" s="228" t="s">
        <v>532</v>
      </c>
      <c r="F39" s="1164">
        <v>18984</v>
      </c>
      <c r="G39" s="1165">
        <v>34928</v>
      </c>
      <c r="H39" s="1165">
        <v>63775</v>
      </c>
      <c r="I39" s="595">
        <f>SUM(F39:H39)</f>
        <v>117687</v>
      </c>
      <c r="K39" s="557" t="s">
        <v>369</v>
      </c>
      <c r="L39" s="219"/>
      <c r="M39" s="219"/>
      <c r="N39" s="1051">
        <f>SUM(N32:N38)</f>
        <v>743.09232999999995</v>
      </c>
      <c r="O39" s="219"/>
      <c r="P39" s="1052">
        <f>SUM(P32:P38)</f>
        <v>800.52144233483421</v>
      </c>
    </row>
    <row r="40" spans="1:16">
      <c r="A40" s="216" t="s">
        <v>397</v>
      </c>
      <c r="B40" s="316"/>
      <c r="C40" s="599">
        <v>1243</v>
      </c>
      <c r="E40" s="228" t="s">
        <v>185</v>
      </c>
      <c r="F40" s="290">
        <v>4</v>
      </c>
      <c r="G40" s="291">
        <f>IF(I35="Normal",15,10)</f>
        <v>10</v>
      </c>
      <c r="H40" s="290">
        <f>IF(I35="Normal",0,20)</f>
        <v>20</v>
      </c>
      <c r="I40" s="237">
        <f>MAX(F40,G40,H40)</f>
        <v>20</v>
      </c>
      <c r="K40" s="248"/>
      <c r="L40" s="219"/>
      <c r="M40" s="219"/>
      <c r="N40" s="219"/>
      <c r="O40" s="219"/>
      <c r="P40" s="1117"/>
    </row>
    <row r="41" spans="1:16" ht="14.25">
      <c r="A41" s="248" t="s">
        <v>59</v>
      </c>
      <c r="B41" s="286"/>
      <c r="C41" s="318">
        <f>+IF(I49="Financing", I50, 0)</f>
        <v>0</v>
      </c>
      <c r="E41" s="292" t="s">
        <v>202</v>
      </c>
      <c r="F41" s="293">
        <f>IF(I35="Normal",7.75%,6.73%)</f>
        <v>6.7299999999999999E-2</v>
      </c>
      <c r="G41" s="293">
        <f>IF(I35="Normal",8%,7.57%)</f>
        <v>7.5700000000000003E-2</v>
      </c>
      <c r="H41" s="293">
        <f>IF(I35="Normal",0,8.18%)</f>
        <v>8.1799999999999998E-2</v>
      </c>
      <c r="I41" s="294">
        <f>IF(I35="Normal",F41*($F$38/$I$38)+G41*($G$38/$I$38)+H41*($H$38/$I$38),_Int1*(Principal1/I39)+_Int2*(Principal2/I39)+_Int3*(Principal3/I39))</f>
        <v>7.7650613916575323E-2</v>
      </c>
      <c r="K41" s="252" t="s">
        <v>21</v>
      </c>
      <c r="L41" s="244"/>
      <c r="M41" s="244"/>
      <c r="N41" s="558">
        <v>0.03</v>
      </c>
      <c r="O41" s="219"/>
      <c r="P41" s="1117"/>
    </row>
    <row r="42" spans="1:16">
      <c r="A42" s="248"/>
      <c r="B42" s="229"/>
      <c r="C42" s="301">
        <f>SUM(C38:C41)</f>
        <v>1243</v>
      </c>
      <c r="E42" s="228" t="s">
        <v>186</v>
      </c>
      <c r="F42" s="295">
        <v>1.5</v>
      </c>
      <c r="G42" s="295">
        <v>2.5</v>
      </c>
      <c r="H42" s="296">
        <v>2.5</v>
      </c>
      <c r="I42" s="297">
        <f>IF(I35="Normal",F42*($F$38/$I$38)+G42*($G$38/$I$38)+H42*($H$38/$I$38),F42*(Principal1/I39)+G42*(Principal2/I39)+H42*(Principal3/I39))</f>
        <v>2.3386907644854573</v>
      </c>
      <c r="K42" s="323" t="s">
        <v>22</v>
      </c>
      <c r="L42" s="559"/>
      <c r="M42" s="559"/>
      <c r="N42" s="560">
        <v>0.03</v>
      </c>
      <c r="O42" s="260"/>
      <c r="P42" s="1118"/>
    </row>
    <row r="43" spans="1:16">
      <c r="A43" s="248"/>
      <c r="B43" s="229"/>
      <c r="C43" s="301"/>
      <c r="E43" s="216" t="s">
        <v>226</v>
      </c>
      <c r="F43" s="219"/>
      <c r="G43" s="298" t="s">
        <v>269</v>
      </c>
      <c r="H43" s="298"/>
      <c r="I43" s="299"/>
      <c r="K43" s="213"/>
      <c r="L43" s="213"/>
      <c r="M43" s="213"/>
      <c r="N43" s="300"/>
      <c r="O43" s="219"/>
      <c r="P43" s="412"/>
    </row>
    <row r="44" spans="1:16" ht="15.75">
      <c r="A44" s="242" t="s">
        <v>106</v>
      </c>
      <c r="B44" s="286"/>
      <c r="C44" s="307"/>
      <c r="E44" s="248"/>
      <c r="F44" s="219"/>
      <c r="G44" s="219"/>
      <c r="H44" s="219"/>
      <c r="I44" s="302"/>
      <c r="K44" s="561" t="s">
        <v>493</v>
      </c>
      <c r="L44" s="562"/>
      <c r="M44" s="562"/>
      <c r="N44" s="563"/>
      <c r="O44" s="564"/>
      <c r="P44" s="1119"/>
    </row>
    <row r="45" spans="1:16" ht="26.25">
      <c r="A45" s="248" t="s">
        <v>507</v>
      </c>
      <c r="B45" s="1169">
        <v>6.5000000000000002E-2</v>
      </c>
      <c r="C45" s="1168">
        <f>3172.038-426.988+40.258-10.399</f>
        <v>2774.9090000000001</v>
      </c>
      <c r="E45" s="303" t="s">
        <v>207</v>
      </c>
      <c r="F45" s="304">
        <f>IF(I35="Normal",'Debt Amortization'!$E$31,'Debt Amortization'!C76)</f>
        <v>2.5</v>
      </c>
      <c r="G45" s="305">
        <f>IF(I35="Normal",'Debt Amortization'!$E$39,'Debt Amortization'!C91)</f>
        <v>7.45</v>
      </c>
      <c r="H45" s="305">
        <f>IF(I35="Normal",'Debt Amortization'!$E$47,'Debt Amortization'!C106)</f>
        <v>15.39</v>
      </c>
      <c r="I45" s="306">
        <f>+'Debt Amortization'!E56</f>
        <v>7.5221288886383242</v>
      </c>
      <c r="K45" s="248"/>
      <c r="L45" s="592" t="s">
        <v>503</v>
      </c>
      <c r="M45" s="241"/>
      <c r="N45" s="593">
        <v>1999</v>
      </c>
      <c r="O45" s="312"/>
      <c r="P45" s="1120" t="s">
        <v>545</v>
      </c>
    </row>
    <row r="46" spans="1:16">
      <c r="A46" s="248"/>
      <c r="B46" s="327"/>
      <c r="C46" s="301">
        <f>SUM(C45:C45)</f>
        <v>2774.9090000000001</v>
      </c>
      <c r="E46" s="308"/>
      <c r="F46" s="309"/>
      <c r="G46" s="310"/>
      <c r="H46" s="310"/>
      <c r="I46" s="311"/>
      <c r="K46" s="252" t="s">
        <v>578</v>
      </c>
      <c r="L46" s="1051">
        <f>L11</f>
        <v>446.6</v>
      </c>
      <c r="M46" s="229" t="s">
        <v>410</v>
      </c>
      <c r="N46" s="1097">
        <f>L46/(NetMW*AnnualHours)*1000</f>
        <v>0.84200603318250378</v>
      </c>
      <c r="O46" s="312" t="s">
        <v>502</v>
      </c>
      <c r="P46" s="1121">
        <f>AVERAGE('PPA Assumptions &amp; Summary'!D57:G57)</f>
        <v>0.9589127067388763</v>
      </c>
    </row>
    <row r="47" spans="1:16">
      <c r="A47" s="248"/>
      <c r="B47" s="219"/>
      <c r="C47" s="237"/>
      <c r="E47" s="254"/>
      <c r="I47" s="313"/>
      <c r="K47" s="252"/>
      <c r="L47" s="227"/>
      <c r="M47" s="219"/>
      <c r="N47" s="314"/>
      <c r="O47" s="312"/>
      <c r="P47" s="1117"/>
    </row>
    <row r="48" spans="1:16" ht="15.75">
      <c r="A48" s="216" t="s">
        <v>229</v>
      </c>
      <c r="B48" s="329">
        <v>0</v>
      </c>
      <c r="C48" s="225">
        <f>B48*(C23+C34+C42+C46-C26)</f>
        <v>0</v>
      </c>
      <c r="E48" s="541" t="s">
        <v>257</v>
      </c>
      <c r="F48" s="542"/>
      <c r="G48" s="542"/>
      <c r="H48" s="542"/>
      <c r="I48" s="548"/>
      <c r="K48" s="252" t="s">
        <v>412</v>
      </c>
      <c r="L48" s="373">
        <f>Main_Start*L15/1000</f>
        <v>1349.28</v>
      </c>
      <c r="M48" s="229" t="s">
        <v>410</v>
      </c>
      <c r="N48" s="373">
        <f>L48/L15*1000</f>
        <v>11244</v>
      </c>
      <c r="O48" s="312" t="s">
        <v>572</v>
      </c>
      <c r="P48" s="1117">
        <f>AVERAGE('Book Income Statement'!E32:H32)/L15*1000</f>
        <v>12112.980761910001</v>
      </c>
    </row>
    <row r="49" spans="1:16" ht="15.75" customHeight="1">
      <c r="A49" s="248"/>
      <c r="B49" s="286"/>
      <c r="C49" s="307"/>
      <c r="E49" s="228" t="s">
        <v>223</v>
      </c>
      <c r="F49" s="219"/>
      <c r="G49" s="219"/>
      <c r="H49" s="219"/>
      <c r="I49" s="315" t="s">
        <v>6</v>
      </c>
      <c r="K49" s="252" t="s">
        <v>552</v>
      </c>
      <c r="L49" s="374">
        <f>O16</f>
        <v>0</v>
      </c>
      <c r="M49" s="229" t="s">
        <v>410</v>
      </c>
      <c r="N49" s="374">
        <f>L49/L16*1000</f>
        <v>0</v>
      </c>
      <c r="O49" s="312" t="s">
        <v>572</v>
      </c>
      <c r="P49" s="1117">
        <f>AVERAGE('Book Income Statement'!E33:H33)/L16*1000</f>
        <v>0</v>
      </c>
    </row>
    <row r="50" spans="1:16">
      <c r="A50" s="319" t="s">
        <v>58</v>
      </c>
      <c r="B50" s="330"/>
      <c r="C50" s="1167">
        <f>C23+C34+C42+C46+C48</f>
        <v>154763.97100000002</v>
      </c>
      <c r="E50" s="228" t="s">
        <v>224</v>
      </c>
      <c r="F50" s="219"/>
      <c r="G50" s="219"/>
      <c r="H50" s="219"/>
      <c r="I50" s="317">
        <f>0.5*'Returns Summary'!$D$23</f>
        <v>6782.5309999999999</v>
      </c>
      <c r="K50" s="252"/>
      <c r="L50" s="1051">
        <f>SUM(L48:L49)</f>
        <v>1349.28</v>
      </c>
      <c r="M50" s="229"/>
      <c r="N50" s="1051">
        <f>SUM(N48:N49)</f>
        <v>11244</v>
      </c>
      <c r="O50" s="312"/>
      <c r="P50" s="1117"/>
    </row>
    <row r="51" spans="1:16">
      <c r="A51" s="213"/>
      <c r="B51" s="213"/>
      <c r="C51" s="213"/>
      <c r="E51" s="319" t="s">
        <v>225</v>
      </c>
      <c r="F51" s="260"/>
      <c r="G51" s="320"/>
      <c r="H51" s="260"/>
      <c r="I51" s="321">
        <v>0</v>
      </c>
      <c r="K51" s="252"/>
      <c r="L51" s="227"/>
      <c r="M51" s="219"/>
      <c r="N51" s="314"/>
      <c r="O51" s="312"/>
      <c r="P51" s="1117"/>
    </row>
    <row r="52" spans="1:16" ht="15.75">
      <c r="A52" s="541" t="s">
        <v>57</v>
      </c>
      <c r="B52" s="542"/>
      <c r="C52" s="543"/>
      <c r="E52" s="211" t="s">
        <v>138</v>
      </c>
      <c r="K52" s="252" t="s">
        <v>579</v>
      </c>
      <c r="L52" s="373">
        <f>Labor+Fixed+N24+N22</f>
        <v>1054.3911764705883</v>
      </c>
      <c r="M52" s="229" t="s">
        <v>410</v>
      </c>
      <c r="N52" s="314">
        <f>L52/(NetMW*12)</f>
        <v>0.19879169993789372</v>
      </c>
      <c r="O52" s="312" t="s">
        <v>411</v>
      </c>
      <c r="P52" s="1121">
        <f>AVERAGE('Book Income Statement'!E42:H42)/NetMW/12</f>
        <v>0.22555352075214183</v>
      </c>
    </row>
    <row r="53" spans="1:16" ht="15.75">
      <c r="A53" s="216" t="s">
        <v>191</v>
      </c>
      <c r="B53" s="219"/>
      <c r="C53" s="340" t="s">
        <v>543</v>
      </c>
      <c r="E53" s="541" t="s">
        <v>44</v>
      </c>
      <c r="F53" s="542"/>
      <c r="G53" s="542"/>
      <c r="H53" s="542"/>
      <c r="I53" s="543"/>
      <c r="K53" s="252" t="s">
        <v>413</v>
      </c>
      <c r="L53" s="373">
        <f>N39</f>
        <v>743.09232999999995</v>
      </c>
      <c r="M53" s="229" t="s">
        <v>410</v>
      </c>
      <c r="N53" s="314">
        <f>L53/(NetMW*12)</f>
        <v>0.14010036387631974</v>
      </c>
      <c r="O53" s="312" t="s">
        <v>411</v>
      </c>
      <c r="P53" s="1121">
        <f>AVERAGE('Book Income Statement'!E51:H51)/NetMW/12</f>
        <v>0.15092787374336997</v>
      </c>
    </row>
    <row r="54" spans="1:16">
      <c r="A54" s="216" t="s">
        <v>236</v>
      </c>
      <c r="B54" s="219"/>
      <c r="C54" s="342">
        <v>2.5</v>
      </c>
      <c r="E54" s="351" t="s">
        <v>208</v>
      </c>
      <c r="F54" s="219"/>
      <c r="G54" s="219" t="s">
        <v>221</v>
      </c>
      <c r="H54" s="411" t="str">
        <f>+IF(I54=0, "", IF(OR(I54&gt;I16, I54&lt;MAX('Project Assumptions'!F40:H40)), "Error", "-"))</f>
        <v/>
      </c>
      <c r="I54" s="263"/>
      <c r="K54" s="252" t="s">
        <v>597</v>
      </c>
      <c r="L54" s="373">
        <f>'Book Income Statement'!F53/1.03^2</f>
        <v>507.18209279417943</v>
      </c>
      <c r="M54" s="229" t="s">
        <v>410</v>
      </c>
      <c r="N54" s="314">
        <f>L54/(NetMW*12)</f>
        <v>9.5622566514739715E-2</v>
      </c>
      <c r="O54" s="312" t="s">
        <v>411</v>
      </c>
      <c r="P54" s="1121">
        <f>AVERAGE('Book Income Statement'!E53:H53)/NetMW/12</f>
        <v>0.10040014596171944</v>
      </c>
    </row>
    <row r="55" spans="1:16">
      <c r="A55" s="216" t="s">
        <v>468</v>
      </c>
      <c r="B55" s="219"/>
      <c r="C55" s="340" t="s">
        <v>180</v>
      </c>
      <c r="E55" s="248"/>
      <c r="F55" s="219"/>
      <c r="G55" s="219" t="s">
        <v>220</v>
      </c>
      <c r="H55" s="219"/>
      <c r="I55" s="325"/>
      <c r="K55" s="252" t="s">
        <v>598</v>
      </c>
      <c r="L55" s="374">
        <f>'Book Income Statement'!F56/1.03^2</f>
        <v>0</v>
      </c>
      <c r="M55" s="229" t="s">
        <v>410</v>
      </c>
      <c r="N55" s="322">
        <f>L55/(NetMW*12)</f>
        <v>0</v>
      </c>
      <c r="O55" s="312" t="s">
        <v>411</v>
      </c>
      <c r="P55" s="1122">
        <f>AVERAGE('Book Income Statement'!E56:H56)/NetMW/12</f>
        <v>0</v>
      </c>
    </row>
    <row r="56" spans="1:16">
      <c r="A56" s="216" t="s">
        <v>469</v>
      </c>
      <c r="B56" s="219"/>
      <c r="C56" s="340" t="s">
        <v>180</v>
      </c>
      <c r="E56" s="249"/>
      <c r="F56" s="260"/>
      <c r="G56" s="260" t="s">
        <v>8</v>
      </c>
      <c r="H56" s="260"/>
      <c r="I56" s="326"/>
      <c r="K56" s="252"/>
      <c r="L56" s="1051">
        <f>SUM(L52:L55)</f>
        <v>2304.6655992647675</v>
      </c>
      <c r="M56" s="229"/>
      <c r="N56" s="1097">
        <f>SUM(N52:N55)</f>
        <v>0.43451463032895316</v>
      </c>
      <c r="O56" s="312"/>
      <c r="P56" s="1121">
        <f>SUM(P52:P55)</f>
        <v>0.47688154045723119</v>
      </c>
    </row>
    <row r="57" spans="1:16">
      <c r="A57" s="216" t="s">
        <v>216</v>
      </c>
      <c r="B57" s="219"/>
      <c r="C57" s="340">
        <v>15</v>
      </c>
      <c r="E57" s="219"/>
      <c r="F57" s="219"/>
      <c r="G57" s="219"/>
      <c r="H57" s="219"/>
      <c r="I57" s="328"/>
      <c r="K57" s="1116" t="s">
        <v>571</v>
      </c>
      <c r="L57" s="1098">
        <f>L46+L50+L56</f>
        <v>4100.5455992647676</v>
      </c>
      <c r="M57" s="1099" t="s">
        <v>410</v>
      </c>
      <c r="N57" s="1100"/>
      <c r="O57" s="1101"/>
      <c r="P57" s="1123"/>
    </row>
    <row r="58" spans="1:16" ht="15.75">
      <c r="A58" s="216" t="s">
        <v>190</v>
      </c>
      <c r="B58" s="219"/>
      <c r="C58" s="340" t="s">
        <v>166</v>
      </c>
      <c r="E58" s="551" t="s">
        <v>443</v>
      </c>
      <c r="F58" s="542"/>
      <c r="G58" s="542"/>
      <c r="H58" s="542"/>
      <c r="I58" s="543"/>
      <c r="K58" s="213"/>
      <c r="L58" s="213"/>
      <c r="M58" s="213"/>
      <c r="N58" s="300"/>
      <c r="P58" s="1124"/>
    </row>
    <row r="59" spans="1:16" ht="15.75">
      <c r="A59" s="248" t="s">
        <v>230</v>
      </c>
      <c r="B59" s="219"/>
      <c r="C59" s="340" t="s">
        <v>180</v>
      </c>
      <c r="E59" s="248"/>
      <c r="F59" s="219"/>
      <c r="G59" s="549" t="s">
        <v>67</v>
      </c>
      <c r="H59" s="219"/>
      <c r="I59" s="550">
        <v>0.12</v>
      </c>
      <c r="K59" s="541" t="s">
        <v>697</v>
      </c>
      <c r="L59" s="554"/>
      <c r="M59" s="554"/>
      <c r="N59" s="565"/>
      <c r="O59" s="542"/>
      <c r="P59" s="553"/>
    </row>
    <row r="60" spans="1:16">
      <c r="A60" s="216" t="s">
        <v>181</v>
      </c>
      <c r="B60" s="219"/>
      <c r="C60" s="340" t="s">
        <v>23</v>
      </c>
      <c r="E60" s="248"/>
      <c r="F60" s="219"/>
      <c r="G60" s="331" t="s">
        <v>17</v>
      </c>
      <c r="H60" s="219"/>
      <c r="I60" s="332" t="s">
        <v>18</v>
      </c>
      <c r="K60" s="249" t="s">
        <v>467</v>
      </c>
      <c r="L60" s="260"/>
      <c r="M60" s="260"/>
      <c r="N60" s="1056">
        <f>880.005/6*0</f>
        <v>0</v>
      </c>
      <c r="O60" s="260"/>
      <c r="P60" s="141"/>
    </row>
    <row r="61" spans="1:16">
      <c r="A61" s="248" t="s">
        <v>231</v>
      </c>
      <c r="B61" s="219"/>
      <c r="C61" s="348">
        <v>0</v>
      </c>
      <c r="E61" s="333" t="s">
        <v>0</v>
      </c>
      <c r="F61" s="334"/>
      <c r="G61" s="284" t="s">
        <v>39</v>
      </c>
      <c r="H61" s="334"/>
      <c r="I61" s="285" t="s">
        <v>39</v>
      </c>
    </row>
    <row r="62" spans="1:16" ht="15.75">
      <c r="A62" s="351" t="s">
        <v>379</v>
      </c>
      <c r="B62" s="219"/>
      <c r="C62" s="237"/>
      <c r="E62" s="336">
        <v>10</v>
      </c>
      <c r="F62" s="229"/>
      <c r="G62" s="337">
        <f>'Returns Summary'!$L$8</f>
        <v>0.17032557129859927</v>
      </c>
      <c r="H62" s="217"/>
      <c r="I62" s="338">
        <f>'Returns Summary'!$L$12</f>
        <v>0.12912572026252747</v>
      </c>
      <c r="K62" s="541" t="s">
        <v>260</v>
      </c>
      <c r="L62" s="542"/>
      <c r="M62" s="542"/>
      <c r="N62" s="542"/>
      <c r="O62" s="542"/>
      <c r="P62" s="566"/>
    </row>
    <row r="63" spans="1:16" ht="24">
      <c r="A63" s="248" t="s">
        <v>274</v>
      </c>
      <c r="B63" s="219"/>
      <c r="C63" s="355">
        <v>1</v>
      </c>
      <c r="E63" s="336">
        <v>15</v>
      </c>
      <c r="F63" s="229"/>
      <c r="G63" s="337">
        <f>'Returns Summary'!$Q$8</f>
        <v>0.23077589869499207</v>
      </c>
      <c r="H63" s="217"/>
      <c r="I63" s="338">
        <f>'Returns Summary'!$Q$12</f>
        <v>0.19263206124305723</v>
      </c>
      <c r="K63" s="216" t="s">
        <v>188</v>
      </c>
      <c r="L63" s="219"/>
      <c r="M63" s="219"/>
      <c r="N63" s="335">
        <v>0.35</v>
      </c>
      <c r="O63" s="219"/>
      <c r="P63" s="1047" t="s">
        <v>545</v>
      </c>
    </row>
    <row r="64" spans="1:16">
      <c r="A64" s="248" t="s">
        <v>275</v>
      </c>
      <c r="B64" s="219"/>
      <c r="C64" s="356">
        <v>0.5</v>
      </c>
      <c r="E64" s="336">
        <v>20</v>
      </c>
      <c r="F64" s="229"/>
      <c r="G64" s="337">
        <f>'Returns Summary'!$W$8</f>
        <v>0.24544077515602111</v>
      </c>
      <c r="H64" s="217"/>
      <c r="I64" s="338">
        <f>'Returns Summary'!$W$12</f>
        <v>0.20631921887397769</v>
      </c>
      <c r="K64" s="216" t="s">
        <v>187</v>
      </c>
      <c r="L64" s="219"/>
      <c r="M64" s="219"/>
      <c r="N64" s="522">
        <v>0.05</v>
      </c>
      <c r="O64" s="219"/>
      <c r="P64" s="140"/>
    </row>
    <row r="65" spans="1:16">
      <c r="A65" s="351" t="s">
        <v>388</v>
      </c>
      <c r="B65" s="358"/>
      <c r="C65" s="359" t="s">
        <v>378</v>
      </c>
      <c r="E65" s="336"/>
      <c r="F65" s="219"/>
      <c r="G65" s="343"/>
      <c r="H65" s="219"/>
      <c r="I65" s="344"/>
      <c r="K65" s="248" t="s">
        <v>189</v>
      </c>
      <c r="L65" s="219"/>
      <c r="M65" s="219"/>
      <c r="N65" s="339">
        <f>(1-N64)*N63+N64</f>
        <v>0.38249999999999995</v>
      </c>
      <c r="O65" s="219"/>
      <c r="P65" s="1048">
        <f>AVERAGE('Book Income Statement'!E71:H71)</f>
        <v>2915.1492632144755</v>
      </c>
    </row>
    <row r="66" spans="1:16">
      <c r="A66" s="249" t="s">
        <v>380</v>
      </c>
      <c r="B66" s="260"/>
      <c r="C66" s="360" t="s">
        <v>23</v>
      </c>
      <c r="E66" s="248"/>
      <c r="F66" s="219"/>
      <c r="G66" s="331" t="s">
        <v>17</v>
      </c>
      <c r="H66" s="219"/>
      <c r="I66" s="332" t="s">
        <v>18</v>
      </c>
      <c r="K66" s="216" t="s">
        <v>348</v>
      </c>
      <c r="L66" s="219"/>
      <c r="M66" s="219"/>
      <c r="N66" s="341">
        <v>0</v>
      </c>
      <c r="O66" s="219"/>
      <c r="P66" s="151"/>
    </row>
    <row r="67" spans="1:16">
      <c r="A67" s="188"/>
      <c r="B67" s="363"/>
      <c r="C67" s="364"/>
      <c r="E67" s="333" t="s">
        <v>0</v>
      </c>
      <c r="F67" s="334"/>
      <c r="G67" s="284" t="s">
        <v>66</v>
      </c>
      <c r="H67" s="334"/>
      <c r="I67" s="285" t="s">
        <v>66</v>
      </c>
      <c r="K67" s="216" t="s">
        <v>347</v>
      </c>
      <c r="L67" s="219"/>
      <c r="M67" s="219"/>
      <c r="N67" s="335">
        <v>0</v>
      </c>
      <c r="O67" s="219"/>
      <c r="P67" s="152"/>
    </row>
    <row r="68" spans="1:16">
      <c r="A68" s="188"/>
      <c r="B68" s="363"/>
      <c r="C68" s="364"/>
      <c r="E68" s="336">
        <v>10</v>
      </c>
      <c r="F68" s="229"/>
      <c r="G68" s="346">
        <f>'Returns Summary'!$L$9</f>
        <v>12360.940493957416</v>
      </c>
      <c r="H68" s="346"/>
      <c r="I68" s="347">
        <f>'Returns Summary'!$L$13</f>
        <v>1933.4476446743179</v>
      </c>
      <c r="K68" s="216" t="s">
        <v>345</v>
      </c>
      <c r="L68" s="219"/>
      <c r="M68" s="219"/>
      <c r="N68" s="523">
        <v>0</v>
      </c>
      <c r="O68" s="219"/>
      <c r="P68" s="1048">
        <f>AVERAGE('Tax Calculations'!E10:H10)</f>
        <v>0</v>
      </c>
    </row>
    <row r="69" spans="1:16">
      <c r="A69" s="188"/>
      <c r="B69" s="363"/>
      <c r="C69" s="365"/>
      <c r="E69" s="336">
        <v>15</v>
      </c>
      <c r="F69" s="229"/>
      <c r="G69" s="346">
        <f>'Returns Summary'!$Q$9</f>
        <v>44907.108949579837</v>
      </c>
      <c r="H69" s="346"/>
      <c r="I69" s="347">
        <f>'Returns Summary'!$Q$13</f>
        <v>24957.739968128972</v>
      </c>
      <c r="K69" s="319" t="s">
        <v>254</v>
      </c>
      <c r="L69" s="260"/>
      <c r="M69" s="260"/>
      <c r="N69" s="524">
        <v>1.4999999999999999E-2</v>
      </c>
      <c r="O69" s="260"/>
      <c r="P69" s="153"/>
    </row>
    <row r="70" spans="1:16">
      <c r="E70" s="349">
        <v>20</v>
      </c>
      <c r="F70" s="324"/>
      <c r="G70" s="596">
        <f>'Returns Summary'!$W$9</f>
        <v>66435.380546092114</v>
      </c>
      <c r="H70" s="350"/>
      <c r="I70" s="597">
        <f>'Returns Summary'!$W$13</f>
        <v>36638.74426588315</v>
      </c>
      <c r="K70" s="254"/>
      <c r="N70" s="345"/>
      <c r="P70" s="76"/>
    </row>
    <row r="71" spans="1:16">
      <c r="E71" s="352"/>
      <c r="F71" s="353"/>
      <c r="G71" s="354"/>
      <c r="H71" s="354"/>
      <c r="I71" s="354"/>
    </row>
    <row r="72" spans="1:16">
      <c r="B72" s="363"/>
      <c r="C72" s="364"/>
    </row>
    <row r="73" spans="1:16">
      <c r="B73" s="363"/>
      <c r="C73" s="364"/>
    </row>
    <row r="74" spans="1:16">
      <c r="B74" s="363"/>
      <c r="C74" s="364"/>
      <c r="D74" s="364"/>
    </row>
    <row r="75" spans="1:16">
      <c r="B75" s="363"/>
      <c r="C75" s="364"/>
      <c r="D75" s="364"/>
    </row>
    <row r="76" spans="1:16" ht="12.75">
      <c r="B76" s="363"/>
      <c r="C76" s="363"/>
      <c r="D76" s="364"/>
      <c r="J76"/>
    </row>
    <row r="77" spans="1:16" ht="12.75">
      <c r="B77" s="363"/>
      <c r="C77" s="371"/>
      <c r="D77" s="364"/>
      <c r="J77"/>
    </row>
    <row r="78" spans="1:16" ht="14.25" customHeight="1">
      <c r="B78" s="363"/>
      <c r="C78" s="364"/>
      <c r="J78"/>
    </row>
    <row r="79" spans="1:16" ht="12.75">
      <c r="B79" s="363"/>
      <c r="C79" s="364"/>
      <c r="E79"/>
      <c r="F79"/>
      <c r="G79"/>
      <c r="H79"/>
      <c r="I79"/>
      <c r="J79"/>
    </row>
    <row r="80" spans="1:16" ht="12.75">
      <c r="B80" s="363"/>
      <c r="C80" s="364"/>
      <c r="E80"/>
      <c r="F80"/>
      <c r="G80"/>
      <c r="H80"/>
      <c r="I80"/>
      <c r="J80"/>
    </row>
    <row r="81" spans="1:14" ht="12.75">
      <c r="A81" s="369" t="s">
        <v>308</v>
      </c>
      <c r="B81" s="363"/>
      <c r="C81" s="364"/>
      <c r="E81"/>
      <c r="F81"/>
      <c r="G81"/>
      <c r="H81"/>
      <c r="I81"/>
      <c r="J81"/>
    </row>
    <row r="82" spans="1:14" ht="12.75">
      <c r="A82" s="239" t="s">
        <v>344</v>
      </c>
      <c r="B82" s="364"/>
      <c r="C82" s="364"/>
      <c r="E82"/>
      <c r="F82"/>
      <c r="G82"/>
      <c r="H82"/>
      <c r="I82"/>
    </row>
    <row r="83" spans="1:14" ht="12.75" customHeight="1">
      <c r="A83" s="239" t="s">
        <v>334</v>
      </c>
      <c r="B83" s="364"/>
      <c r="C83" s="364"/>
      <c r="E83"/>
      <c r="F83"/>
      <c r="G83"/>
      <c r="H83"/>
      <c r="I83"/>
    </row>
    <row r="84" spans="1:14" ht="12.75">
      <c r="A84" s="239" t="s">
        <v>335</v>
      </c>
      <c r="B84" s="364"/>
      <c r="C84" s="364"/>
      <c r="D84" s="239"/>
      <c r="E84"/>
      <c r="F84"/>
      <c r="G84"/>
      <c r="H84"/>
      <c r="I84"/>
    </row>
    <row r="85" spans="1:14">
      <c r="A85" s="239" t="s">
        <v>346</v>
      </c>
      <c r="B85" s="364"/>
      <c r="C85" s="364"/>
      <c r="D85" s="364"/>
    </row>
    <row r="86" spans="1:14">
      <c r="A86" s="239" t="s">
        <v>383</v>
      </c>
      <c r="B86" s="390"/>
      <c r="C86" s="390"/>
      <c r="D86" s="385" t="s">
        <v>302</v>
      </c>
    </row>
    <row r="87" spans="1:14">
      <c r="A87" s="239" t="s">
        <v>359</v>
      </c>
      <c r="B87" s="390"/>
      <c r="C87" s="390"/>
      <c r="D87" s="385" t="s">
        <v>304</v>
      </c>
    </row>
    <row r="88" spans="1:14">
      <c r="A88" s="239" t="s">
        <v>360</v>
      </c>
      <c r="B88" s="390"/>
      <c r="C88" s="390"/>
      <c r="D88" s="364"/>
      <c r="L88" s="213"/>
      <c r="M88" s="213"/>
      <c r="N88" s="370"/>
    </row>
    <row r="89" spans="1:14">
      <c r="A89" s="239" t="s">
        <v>361</v>
      </c>
      <c r="D89" s="390"/>
      <c r="I89" s="354"/>
    </row>
    <row r="90" spans="1:14">
      <c r="A90" s="211" t="s">
        <v>362</v>
      </c>
      <c r="D90" s="390"/>
    </row>
    <row r="91" spans="1:14">
      <c r="A91" s="239" t="s">
        <v>384</v>
      </c>
      <c r="D91" s="390"/>
      <c r="I91" s="377"/>
    </row>
    <row r="92" spans="1:14">
      <c r="A92" s="211" t="s">
        <v>391</v>
      </c>
    </row>
    <row r="93" spans="1:14">
      <c r="I93" s="384"/>
    </row>
    <row r="98" spans="5:14" ht="15.75">
      <c r="E98" s="372" t="s">
        <v>291</v>
      </c>
      <c r="F98" s="214"/>
      <c r="G98" s="214"/>
      <c r="H98" s="215"/>
    </row>
    <row r="99" spans="5:14">
      <c r="E99" s="248" t="s">
        <v>292</v>
      </c>
      <c r="F99" s="373">
        <f>C50</f>
        <v>154763.97100000002</v>
      </c>
      <c r="G99" s="219"/>
      <c r="H99" s="237"/>
    </row>
    <row r="100" spans="5:14">
      <c r="E100" s="248" t="s">
        <v>293</v>
      </c>
      <c r="F100" s="374">
        <f>F99</f>
        <v>154763.97100000002</v>
      </c>
      <c r="G100" s="219"/>
      <c r="H100" s="237"/>
    </row>
    <row r="101" spans="5:14">
      <c r="E101" s="319" t="s">
        <v>294</v>
      </c>
      <c r="F101" s="375">
        <v>0</v>
      </c>
      <c r="G101" s="260"/>
      <c r="H101" s="376"/>
      <c r="K101" s="239"/>
      <c r="L101" s="239"/>
      <c r="M101" s="392"/>
      <c r="N101" s="311"/>
    </row>
    <row r="102" spans="5:14" ht="12.75" thickBot="1">
      <c r="G102" s="378"/>
      <c r="H102" s="379"/>
      <c r="K102" s="239"/>
      <c r="L102" s="239"/>
      <c r="M102" s="392"/>
      <c r="N102" s="311"/>
    </row>
    <row r="103" spans="5:14" ht="16.5" thickBot="1">
      <c r="E103" s="380" t="s">
        <v>298</v>
      </c>
      <c r="F103" s="381"/>
      <c r="G103" s="382" t="s">
        <v>299</v>
      </c>
      <c r="H103" s="383"/>
      <c r="K103" s="211" t="s">
        <v>349</v>
      </c>
      <c r="L103" s="311"/>
      <c r="M103" s="311"/>
      <c r="N103" s="311"/>
    </row>
    <row r="104" spans="5:14" ht="16.5" thickBot="1">
      <c r="E104" s="380">
        <v>12</v>
      </c>
      <c r="F104" s="381">
        <v>16</v>
      </c>
      <c r="G104" s="386">
        <v>8</v>
      </c>
      <c r="H104" s="387">
        <v>10</v>
      </c>
      <c r="K104" s="211" t="s">
        <v>307</v>
      </c>
    </row>
    <row r="105" spans="5:14" ht="13.5" thickBot="1">
      <c r="E105" s="388">
        <f>E104*'Book Income Statement'!$C$75-$C$8-'PPA Assumptions &amp; Summary'!$B$15</f>
        <v>-5537.6904731493678</v>
      </c>
      <c r="F105" s="388">
        <f>F104*'Book Income Statement'!$C$75-$C$8-'PPA Assumptions &amp; Summary'!$B$15</f>
        <v>4976.6046278682979</v>
      </c>
      <c r="G105" s="389">
        <f>G104*'Book Income Statement'!$C$74-$C$8-'PPA Assumptions &amp; Summary'!$B$15</f>
        <v>26894.012638644563</v>
      </c>
      <c r="H105" s="389">
        <f>H104*'Book Income Statement'!$C$74-$C$8-'PPA Assumptions &amp; Summary'!$B$15</f>
        <v>42887.6597423563</v>
      </c>
      <c r="K105" s="211" t="s">
        <v>343</v>
      </c>
    </row>
    <row r="106" spans="5:14">
      <c r="E106" s="211" t="s">
        <v>300</v>
      </c>
      <c r="F106" s="211" t="s">
        <v>303</v>
      </c>
      <c r="K106" s="211" t="s">
        <v>377</v>
      </c>
    </row>
    <row r="107" spans="5:14">
      <c r="E107" s="211" t="s">
        <v>301</v>
      </c>
      <c r="F107" s="308" t="s">
        <v>305</v>
      </c>
      <c r="G107" s="391"/>
      <c r="H107" s="391"/>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2:N2"/>
    <mergeCell ref="A3:N3"/>
    <mergeCell ref="A4:N4"/>
  </mergeCells>
  <dataValidations count="9">
    <dataValidation type="list" allowBlank="1" showInputMessage="1" showErrorMessage="1" sqref="I49">
      <formula1>"Financing, Operations"</formula1>
    </dataValidation>
    <dataValidation type="list" allowBlank="1" showInputMessage="1" showErrorMessage="1" sqref="C55:C56 C66 C59:C60">
      <formula1>"Yes,No"</formula1>
    </dataValidation>
    <dataValidation type="list" allowBlank="1" showInputMessage="1" showErrorMessage="1" sqref="C53">
      <formula1>"Fixed,Index"</formula1>
    </dataValidation>
    <dataValidation type="list" allowBlank="1" showInputMessage="1" showErrorMessage="1" sqref="C58">
      <formula1>"Assumed,Dispatched"</formula1>
    </dataValidation>
    <dataValidation type="list" allowBlank="1" showInputMessage="1" showErrorMessage="1" sqref="G43:H43">
      <formula1>"Interest Only,No P&amp;I"</formula1>
    </dataValidation>
    <dataValidation type="list" allowBlank="1" showInputMessage="1" showErrorMessage="1" sqref="C54">
      <formula1>"0,2.5,N/A"</formula1>
    </dataValidation>
    <dataValidation type="list" allowBlank="1" showInputMessage="1" showErrorMessage="1" sqref="I35">
      <formula1>"Normal,Alternate"</formula1>
    </dataValidation>
    <dataValidation type="list" allowBlank="1" showInputMessage="1" showErrorMessage="1" sqref="C63">
      <formula1>"1,2,3,4"</formula1>
    </dataValidation>
    <dataValidation type="list" allowBlank="1" showInputMessage="1" showErrorMessage="1" sqref="C65">
      <formula1>"Kaiser Peak, ECT Peak Curve, Marginal Cost Curve"</formula1>
    </dataValidation>
  </dataValidations>
  <pageMargins left="0.75" right="0.5" top="0.25" bottom="0.5" header="0" footer="0"/>
  <pageSetup scale="48" orientation="landscape" horizontalDpi="4294967294" r:id="rId3"/>
  <headerFooter alignWithMargins="0">
    <oddFooter>&amp;L&amp;D   &amp;T&amp;R&amp;F
&amp;A &amp;P</oddFooter>
  </headerFooter>
  <drawing r:id="rId4"/>
  <legacyDrawing r:id="rId5"/>
  <mc:AlternateContent xmlns:mc="http://schemas.openxmlformats.org/markup-compatibility/2006">
    <mc:Choice Requires="x14">
      <controls>
        <mc:AlternateContent xmlns:mc="http://schemas.openxmlformats.org/markup-compatibility/2006">
          <mc:Choice Requires="x14">
            <control shapeId="10926" r:id="rId6" name="Button 686">
              <controlPr defaultSize="0" print="0" autoFill="0" autoPict="0" macro="[0]!Print1">
                <anchor moveWithCells="1" sizeWithCells="1">
                  <from>
                    <xdr:col>0</xdr:col>
                    <xdr:colOff>514350</xdr:colOff>
                    <xdr:row>1</xdr:row>
                    <xdr:rowOff>47625</xdr:rowOff>
                  </from>
                  <to>
                    <xdr:col>0</xdr:col>
                    <xdr:colOff>1771650</xdr:colOff>
                    <xdr:row>3</xdr:row>
                    <xdr:rowOff>123825</xdr:rowOff>
                  </to>
                </anchor>
              </controlPr>
            </control>
          </mc:Choice>
        </mc:AlternateContent>
        <mc:AlternateContent xmlns:mc="http://schemas.openxmlformats.org/markup-compatibility/2006">
          <mc:Choice Requires="x14">
            <control shapeId="10954" r:id="rId7" name="Button 714">
              <controlPr defaultSize="0" print="0" autoFill="0" autoPict="0" macro="[0]!Module6.Tax">
                <anchor moveWithCells="1" sizeWithCells="1">
                  <from>
                    <xdr:col>0</xdr:col>
                    <xdr:colOff>1943100</xdr:colOff>
                    <xdr:row>2</xdr:row>
                    <xdr:rowOff>47625</xdr:rowOff>
                  </from>
                  <to>
                    <xdr:col>1</xdr:col>
                    <xdr:colOff>333375</xdr:colOff>
                    <xdr:row>3</xdr:row>
                    <xdr:rowOff>114300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E100"/>
  <sheetViews>
    <sheetView zoomScale="85" zoomScaleNormal="100" workbookViewId="0"/>
  </sheetViews>
  <sheetFormatPr defaultRowHeight="12.75" outlineLevelRow="1"/>
  <cols>
    <col min="1" max="1" width="34.42578125" style="163" customWidth="1"/>
    <col min="2" max="30" width="9.140625" style="163"/>
  </cols>
  <sheetData>
    <row r="1" spans="1:30" ht="20.25">
      <c r="A1" s="634" t="str">
        <f>'Project Assumptions'!$A$2</f>
        <v>CALEDONIA, Lowndes County, MS</v>
      </c>
      <c r="B1" s="635"/>
      <c r="C1" s="635"/>
      <c r="D1" s="636"/>
    </row>
    <row r="2" spans="1:30">
      <c r="A2" s="637" t="s">
        <v>144</v>
      </c>
      <c r="B2" s="638"/>
      <c r="C2" s="728"/>
      <c r="D2" s="639"/>
    </row>
    <row r="3" spans="1:30">
      <c r="A3" s="729"/>
      <c r="B3" s="657"/>
      <c r="C3" s="730"/>
      <c r="D3" s="657"/>
    </row>
    <row r="4" spans="1:30">
      <c r="B4" s="170"/>
      <c r="C4" s="178">
        <v>1</v>
      </c>
      <c r="D4" s="178">
        <f>C4+1</f>
        <v>2</v>
      </c>
      <c r="E4" s="178">
        <f t="shared" ref="E4:V4" si="0">D4+1</f>
        <v>3</v>
      </c>
      <c r="F4" s="178">
        <f t="shared" si="0"/>
        <v>4</v>
      </c>
      <c r="G4" s="178">
        <f t="shared" si="0"/>
        <v>5</v>
      </c>
      <c r="H4" s="178">
        <f t="shared" si="0"/>
        <v>6</v>
      </c>
      <c r="I4" s="178">
        <f t="shared" si="0"/>
        <v>7</v>
      </c>
      <c r="J4" s="178">
        <f t="shared" si="0"/>
        <v>8</v>
      </c>
      <c r="K4" s="178">
        <f t="shared" si="0"/>
        <v>9</v>
      </c>
      <c r="L4" s="178">
        <f t="shared" si="0"/>
        <v>10</v>
      </c>
      <c r="M4" s="178">
        <f t="shared" si="0"/>
        <v>11</v>
      </c>
      <c r="N4" s="178">
        <f t="shared" si="0"/>
        <v>12</v>
      </c>
      <c r="O4" s="178">
        <f t="shared" si="0"/>
        <v>13</v>
      </c>
      <c r="P4" s="178">
        <f t="shared" si="0"/>
        <v>14</v>
      </c>
      <c r="Q4" s="178">
        <f t="shared" si="0"/>
        <v>15</v>
      </c>
      <c r="R4" s="178">
        <f t="shared" si="0"/>
        <v>16</v>
      </c>
      <c r="S4" s="178">
        <f t="shared" si="0"/>
        <v>17</v>
      </c>
      <c r="T4" s="178">
        <f t="shared" si="0"/>
        <v>18</v>
      </c>
      <c r="U4" s="178">
        <f t="shared" si="0"/>
        <v>19</v>
      </c>
      <c r="V4" s="178">
        <f t="shared" si="0"/>
        <v>20</v>
      </c>
      <c r="W4" s="178">
        <f>V4+1</f>
        <v>21</v>
      </c>
      <c r="X4" s="178">
        <f>W4+1</f>
        <v>22</v>
      </c>
      <c r="Y4" s="178"/>
      <c r="Z4" s="178"/>
      <c r="AA4" s="178"/>
    </row>
    <row r="5" spans="1:30">
      <c r="A5" s="758"/>
      <c r="B5" s="641"/>
      <c r="C5" s="759">
        <f>YEAR(StartDate)</f>
        <v>1999</v>
      </c>
      <c r="D5" s="759">
        <f>C5+1</f>
        <v>2000</v>
      </c>
      <c r="E5" s="759">
        <f t="shared" ref="E5:V5" si="1">D5+1</f>
        <v>2001</v>
      </c>
      <c r="F5" s="759">
        <f t="shared" si="1"/>
        <v>2002</v>
      </c>
      <c r="G5" s="759">
        <f t="shared" si="1"/>
        <v>2003</v>
      </c>
      <c r="H5" s="759">
        <f t="shared" si="1"/>
        <v>2004</v>
      </c>
      <c r="I5" s="759">
        <f t="shared" si="1"/>
        <v>2005</v>
      </c>
      <c r="J5" s="759">
        <f t="shared" si="1"/>
        <v>2006</v>
      </c>
      <c r="K5" s="759">
        <f t="shared" si="1"/>
        <v>2007</v>
      </c>
      <c r="L5" s="759">
        <f t="shared" si="1"/>
        <v>2008</v>
      </c>
      <c r="M5" s="759">
        <f t="shared" si="1"/>
        <v>2009</v>
      </c>
      <c r="N5" s="759">
        <f t="shared" si="1"/>
        <v>2010</v>
      </c>
      <c r="O5" s="759">
        <f t="shared" si="1"/>
        <v>2011</v>
      </c>
      <c r="P5" s="759">
        <f t="shared" si="1"/>
        <v>2012</v>
      </c>
      <c r="Q5" s="759">
        <f t="shared" si="1"/>
        <v>2013</v>
      </c>
      <c r="R5" s="759">
        <f t="shared" si="1"/>
        <v>2014</v>
      </c>
      <c r="S5" s="759">
        <f t="shared" si="1"/>
        <v>2015</v>
      </c>
      <c r="T5" s="759">
        <f t="shared" si="1"/>
        <v>2016</v>
      </c>
      <c r="U5" s="759">
        <f t="shared" si="1"/>
        <v>2017</v>
      </c>
      <c r="V5" s="759">
        <f t="shared" si="1"/>
        <v>2018</v>
      </c>
      <c r="W5" s="759">
        <f>V5+1</f>
        <v>2019</v>
      </c>
      <c r="X5" s="760">
        <f>W5+1</f>
        <v>2020</v>
      </c>
      <c r="Y5" s="189"/>
      <c r="Z5" s="189"/>
      <c r="AA5" s="189"/>
    </row>
    <row r="6" spans="1:30" s="101" customFormat="1">
      <c r="A6" s="647" t="s">
        <v>237</v>
      </c>
      <c r="B6" s="179"/>
      <c r="C6" s="761">
        <f>ROUND((DATE($D$5,1,1)-StartDate)/30.4375,1)</f>
        <v>5</v>
      </c>
      <c r="D6" s="762">
        <f>IF($C$6&lt;12,IF(D$4&gt;ProjectLife+1,0,IF(D$4=ProjectLife+1,12-$C$6,12)),IF(D$4&gt;ProjectLife,0,12))</f>
        <v>12</v>
      </c>
      <c r="E6" s="762">
        <f t="shared" ref="E6:X6" si="2">IF($C$6&lt;12,IF(E$4&gt;ProjectLife+1,0,IF(E$4=ProjectLife+1,12-$C$6,12)),IF(E$4&gt;ProjectLife,0,12))</f>
        <v>12</v>
      </c>
      <c r="F6" s="762">
        <f t="shared" si="2"/>
        <v>12</v>
      </c>
      <c r="G6" s="762">
        <f t="shared" si="2"/>
        <v>12</v>
      </c>
      <c r="H6" s="762">
        <f t="shared" si="2"/>
        <v>12</v>
      </c>
      <c r="I6" s="762">
        <f t="shared" si="2"/>
        <v>12</v>
      </c>
      <c r="J6" s="762">
        <f t="shared" si="2"/>
        <v>12</v>
      </c>
      <c r="K6" s="762">
        <f t="shared" si="2"/>
        <v>12</v>
      </c>
      <c r="L6" s="762">
        <f t="shared" si="2"/>
        <v>12</v>
      </c>
      <c r="M6" s="762">
        <f t="shared" si="2"/>
        <v>12</v>
      </c>
      <c r="N6" s="762">
        <f t="shared" si="2"/>
        <v>12</v>
      </c>
      <c r="O6" s="762">
        <f t="shared" si="2"/>
        <v>12</v>
      </c>
      <c r="P6" s="762">
        <f t="shared" si="2"/>
        <v>12</v>
      </c>
      <c r="Q6" s="762">
        <f t="shared" si="2"/>
        <v>12</v>
      </c>
      <c r="R6" s="762">
        <f t="shared" si="2"/>
        <v>12</v>
      </c>
      <c r="S6" s="762">
        <f t="shared" si="2"/>
        <v>12</v>
      </c>
      <c r="T6" s="762">
        <f t="shared" si="2"/>
        <v>12</v>
      </c>
      <c r="U6" s="762">
        <f t="shared" si="2"/>
        <v>12</v>
      </c>
      <c r="V6" s="762">
        <f t="shared" si="2"/>
        <v>12</v>
      </c>
      <c r="W6" s="763">
        <v>12</v>
      </c>
      <c r="X6" s="764">
        <f t="shared" si="2"/>
        <v>0</v>
      </c>
      <c r="Y6" s="179"/>
      <c r="Z6" s="179"/>
      <c r="AA6" s="179"/>
      <c r="AB6" s="179"/>
      <c r="AC6" s="179"/>
      <c r="AD6" s="179"/>
    </row>
    <row r="7" spans="1:30" s="98" customFormat="1" ht="12.6" customHeight="1">
      <c r="A7" s="765" t="s">
        <v>139</v>
      </c>
      <c r="B7" s="179"/>
      <c r="C7" s="762">
        <f>IF($C$6&lt;12,IF(C$4&gt;PPAterm+1,0,IF(C$4=PPAterm+1,'Project Assumptions'!$I$27,C$6)),IF(C$4&lt;PPAterm+1,C$6,0))</f>
        <v>5</v>
      </c>
      <c r="D7" s="762">
        <f>IF($C$6&lt;12,IF(D$4&gt;PPAterm+1,0,IF(D$4=PPAterm+1,'Project Assumptions'!$I$27,D$6)),IF(D$4&lt;PPAterm+1,D$6,0))</f>
        <v>12</v>
      </c>
      <c r="E7" s="762">
        <f>IF($C$6&lt;12,IF(E$4&gt;PPAterm+1,0,IF(E$4=PPAterm+1,'Project Assumptions'!$I$27,E$6)),IF(E$4&lt;PPAterm+1,E$6,0))</f>
        <v>12</v>
      </c>
      <c r="F7" s="762">
        <f>IF($C$6&lt;12,IF(F$4&gt;PPAterm+1,0,IF(F$4=PPAterm+1,'Project Assumptions'!$I$27,F$6)),IF(F$4&lt;PPAterm+1,F$6,0))</f>
        <v>12</v>
      </c>
      <c r="G7" s="762">
        <f>IF($C$6&lt;12,IF(G$4&gt;PPAterm+1,0,IF(G$4=PPAterm+1,'Project Assumptions'!$I$27,G$6)),IF(G$4&lt;PPAterm+1,G$6,0))</f>
        <v>5</v>
      </c>
      <c r="H7" s="762">
        <f>IF($C$6&lt;12,IF(H$4&gt;PPAterm+1,0,IF(H$4=PPAterm+1,'Project Assumptions'!$I$27,H$6)),IF(H$4&lt;PPAterm+1,H$6,0))</f>
        <v>0</v>
      </c>
      <c r="I7" s="762">
        <f>IF($C$6&lt;12,IF(I$4&gt;PPAterm+1,0,IF(I$4=PPAterm+1,'Project Assumptions'!$I$27,I$6)),IF(I$4&lt;PPAterm+1,I$6,0))</f>
        <v>0</v>
      </c>
      <c r="J7" s="762">
        <f>IF($C$6&lt;12,IF(J$4&gt;PPAterm+1,0,IF(J$4=PPAterm+1,'Project Assumptions'!$I$27,J$6)),IF(J$4&lt;PPAterm+1,J$6,0))</f>
        <v>0</v>
      </c>
      <c r="K7" s="762">
        <f>IF($C$6&lt;12,IF(K$4&gt;PPAterm+1,0,IF(K$4=PPAterm+1,'Project Assumptions'!$I$27,K$6)),IF(K$4&lt;PPAterm+1,K$6,0))</f>
        <v>0</v>
      </c>
      <c r="L7" s="762">
        <f>IF($C$6&lt;12,IF(L$4&gt;PPAterm+1,0,IF(L$4=PPAterm+1,'Project Assumptions'!$I$27,L$6)),IF(L$4&lt;PPAterm+1,L$6,0))</f>
        <v>0</v>
      </c>
      <c r="M7" s="762">
        <f>IF($C$6&lt;12,IF(M$4&gt;PPAterm+1,0,IF(M$4=PPAterm+1,'Project Assumptions'!$I$27,M$6)),IF(M$4&lt;PPAterm+1,M$6,0))</f>
        <v>0</v>
      </c>
      <c r="N7" s="762">
        <f>IF($C$6&lt;12,IF(N$4&gt;PPAterm+1,0,IF(N$4=PPAterm+1,'Project Assumptions'!$I$27,N$6)),IF(N$4&lt;PPAterm+1,N$6,0))</f>
        <v>0</v>
      </c>
      <c r="O7" s="762">
        <f>IF($C$6&lt;12,IF(O$4&gt;PPAterm+1,0,IF(O$4=PPAterm+1,'Project Assumptions'!$I$27,O$6)),IF(O$4&lt;PPAterm+1,O$6,0))</f>
        <v>0</v>
      </c>
      <c r="P7" s="762">
        <f>IF($C$6&lt;12,IF(P$4&gt;PPAterm+1,0,IF(P$4=PPAterm+1,'Project Assumptions'!$I$27,P$6)),IF(P$4&lt;PPAterm+1,P$6,0))</f>
        <v>0</v>
      </c>
      <c r="Q7" s="762">
        <f>IF($C$6&lt;12,IF(Q$4&gt;PPAterm+1,0,IF(Q$4=PPAterm+1,'Project Assumptions'!$I$27,Q$6)),IF(Q$4&lt;PPAterm+1,Q$6,0))</f>
        <v>0</v>
      </c>
      <c r="R7" s="762">
        <f>IF($C$6&lt;12,IF(R$4&gt;PPAterm+1,0,IF(R$4=PPAterm+1,'Project Assumptions'!$I$27,R$6)),IF(R$4&lt;PPAterm+1,R$6,0))</f>
        <v>0</v>
      </c>
      <c r="S7" s="762">
        <f>IF($C$6&lt;12,IF(S$4&gt;PPAterm+1,0,IF(S$4=PPAterm+1,'Project Assumptions'!$I$27,S$6)),IF(S$4&lt;PPAterm+1,S$6,0))</f>
        <v>0</v>
      </c>
      <c r="T7" s="762">
        <f>IF($C$6&lt;12,IF(T$4&gt;PPAterm+1,0,IF(T$4=PPAterm+1,'Project Assumptions'!$I$27,T$6)),IF(T$4&lt;PPAterm+1,T$6,0))</f>
        <v>0</v>
      </c>
      <c r="U7" s="762">
        <f>IF($C$6&lt;12,IF(U$4&gt;PPAterm+1,0,IF(U$4=PPAterm+1,'Project Assumptions'!$I$27,U$6)),IF(U$4&lt;PPAterm+1,U$6,0))</f>
        <v>0</v>
      </c>
      <c r="V7" s="762">
        <f>IF($C$6&lt;12,IF(V$4&gt;PPAterm+1,0,IF(V$4=PPAterm+1,'Project Assumptions'!$I$27,V$6)),IF(V$4&lt;PPAterm+1,V$6,0))</f>
        <v>0</v>
      </c>
      <c r="W7" s="762">
        <f>IF($C$6&lt;12,IF(W$4&gt;PPAterm+1,0,IF(W$4=PPAterm+1,'Project Assumptions'!$I$27,W$6)),IF(W$4&lt;PPAterm+1,W$6,0))</f>
        <v>0</v>
      </c>
      <c r="X7" s="764">
        <f>IF($C$6&lt;12,IF(X$4&gt;PPAterm+1,0,IF(X$4=PPAterm+1,'Project Assumptions'!$I$27,X$6)),IF(X$4&lt;PPAterm+1,X$6,0))</f>
        <v>0</v>
      </c>
      <c r="Y7" s="170"/>
      <c r="Z7" s="170"/>
      <c r="AA7" s="170"/>
      <c r="AB7" s="170"/>
      <c r="AC7" s="170"/>
      <c r="AD7" s="170"/>
    </row>
    <row r="8" spans="1:30" s="98" customFormat="1" ht="12.6" customHeight="1">
      <c r="A8" s="765" t="s">
        <v>398</v>
      </c>
      <c r="B8" s="179"/>
      <c r="C8" s="762">
        <f t="shared" ref="C8:V8" si="3">C6-C7</f>
        <v>0</v>
      </c>
      <c r="D8" s="762">
        <f t="shared" si="3"/>
        <v>0</v>
      </c>
      <c r="E8" s="762">
        <f t="shared" si="3"/>
        <v>0</v>
      </c>
      <c r="F8" s="762">
        <f t="shared" si="3"/>
        <v>0</v>
      </c>
      <c r="G8" s="762">
        <f t="shared" si="3"/>
        <v>7</v>
      </c>
      <c r="H8" s="762">
        <f t="shared" si="3"/>
        <v>12</v>
      </c>
      <c r="I8" s="762">
        <f t="shared" si="3"/>
        <v>12</v>
      </c>
      <c r="J8" s="762">
        <f t="shared" si="3"/>
        <v>12</v>
      </c>
      <c r="K8" s="762">
        <f t="shared" si="3"/>
        <v>12</v>
      </c>
      <c r="L8" s="762">
        <f t="shared" si="3"/>
        <v>12</v>
      </c>
      <c r="M8" s="762">
        <f t="shared" si="3"/>
        <v>12</v>
      </c>
      <c r="N8" s="762">
        <f t="shared" si="3"/>
        <v>12</v>
      </c>
      <c r="O8" s="762">
        <f t="shared" si="3"/>
        <v>12</v>
      </c>
      <c r="P8" s="762">
        <f t="shared" si="3"/>
        <v>12</v>
      </c>
      <c r="Q8" s="762">
        <f t="shared" si="3"/>
        <v>12</v>
      </c>
      <c r="R8" s="762">
        <f t="shared" si="3"/>
        <v>12</v>
      </c>
      <c r="S8" s="762">
        <f t="shared" si="3"/>
        <v>12</v>
      </c>
      <c r="T8" s="762">
        <f t="shared" si="3"/>
        <v>12</v>
      </c>
      <c r="U8" s="762">
        <f t="shared" si="3"/>
        <v>12</v>
      </c>
      <c r="V8" s="762">
        <f t="shared" si="3"/>
        <v>12</v>
      </c>
      <c r="W8" s="763">
        <v>12</v>
      </c>
      <c r="X8" s="764">
        <f>X6-X7</f>
        <v>0</v>
      </c>
      <c r="Y8" s="453"/>
      <c r="Z8" s="453"/>
      <c r="AA8" s="453"/>
      <c r="AB8" s="170"/>
      <c r="AC8" s="170"/>
      <c r="AD8" s="170"/>
    </row>
    <row r="9" spans="1:30" s="98" customFormat="1" ht="12.6" customHeight="1">
      <c r="A9" s="765" t="s">
        <v>399</v>
      </c>
      <c r="B9" s="179"/>
      <c r="C9" s="766">
        <f>IF(C6=0,0,PPACAPACITY/NetMW*(C7/C6))</f>
        <v>1</v>
      </c>
      <c r="D9" s="766">
        <f t="shared" ref="D9:V9" si="4">IF(D6=0,0,PPACAPACITY/NetMW*(D7/D6))</f>
        <v>1</v>
      </c>
      <c r="E9" s="766">
        <f t="shared" si="4"/>
        <v>1</v>
      </c>
      <c r="F9" s="766">
        <f t="shared" si="4"/>
        <v>1</v>
      </c>
      <c r="G9" s="766">
        <f t="shared" si="4"/>
        <v>0.41666666666666669</v>
      </c>
      <c r="H9" s="766">
        <f t="shared" si="4"/>
        <v>0</v>
      </c>
      <c r="I9" s="766">
        <f t="shared" si="4"/>
        <v>0</v>
      </c>
      <c r="J9" s="766">
        <f t="shared" si="4"/>
        <v>0</v>
      </c>
      <c r="K9" s="766">
        <f t="shared" si="4"/>
        <v>0</v>
      </c>
      <c r="L9" s="766">
        <f t="shared" si="4"/>
        <v>0</v>
      </c>
      <c r="M9" s="766">
        <f t="shared" si="4"/>
        <v>0</v>
      </c>
      <c r="N9" s="766">
        <f t="shared" si="4"/>
        <v>0</v>
      </c>
      <c r="O9" s="766">
        <f t="shared" si="4"/>
        <v>0</v>
      </c>
      <c r="P9" s="766">
        <f t="shared" si="4"/>
        <v>0</v>
      </c>
      <c r="Q9" s="766">
        <f t="shared" si="4"/>
        <v>0</v>
      </c>
      <c r="R9" s="766">
        <f t="shared" si="4"/>
        <v>0</v>
      </c>
      <c r="S9" s="766">
        <f t="shared" si="4"/>
        <v>0</v>
      </c>
      <c r="T9" s="766">
        <f t="shared" si="4"/>
        <v>0</v>
      </c>
      <c r="U9" s="766">
        <f t="shared" si="4"/>
        <v>0</v>
      </c>
      <c r="V9" s="766">
        <f t="shared" si="4"/>
        <v>0</v>
      </c>
      <c r="W9" s="766">
        <f>IF(W6=0,0,PPACAPACITY/NetMW*(W7/W6))</f>
        <v>0</v>
      </c>
      <c r="X9" s="767">
        <f>IF(X6=0,0,PPACAPACITY/NetMW*(X7/X6))</f>
        <v>0</v>
      </c>
      <c r="Y9" s="453"/>
      <c r="Z9" s="453"/>
      <c r="AA9" s="453"/>
      <c r="AB9" s="170"/>
      <c r="AC9" s="170"/>
      <c r="AD9" s="170"/>
    </row>
    <row r="10" spans="1:30" s="98" customFormat="1" ht="12.6" customHeight="1" outlineLevel="1">
      <c r="A10" s="768" t="s">
        <v>400</v>
      </c>
      <c r="B10" s="769" t="s">
        <v>295</v>
      </c>
      <c r="C10" s="770" t="str">
        <f>IF(C6=0,"",IF(C8=0,"PPA",IF(C7=0,"MERCH.","BLENDED")))</f>
        <v>PPA</v>
      </c>
      <c r="D10" s="770" t="str">
        <f>IF(D6=0,"",IF(D8=0,"PPA",IF(D7=0,"MERCH.","BLENDED")))</f>
        <v>PPA</v>
      </c>
      <c r="E10" s="770" t="str">
        <f t="shared" ref="E10:V10" si="5">IF(E6=0,"",IF(E8=0,"PPA",IF(E7=0,"MERCH.","BLENDED")))</f>
        <v>PPA</v>
      </c>
      <c r="F10" s="770" t="str">
        <f t="shared" si="5"/>
        <v>PPA</v>
      </c>
      <c r="G10" s="770" t="str">
        <f t="shared" si="5"/>
        <v>BLENDED</v>
      </c>
      <c r="H10" s="770" t="str">
        <f t="shared" si="5"/>
        <v>MERCH.</v>
      </c>
      <c r="I10" s="770" t="str">
        <f t="shared" si="5"/>
        <v>MERCH.</v>
      </c>
      <c r="J10" s="770" t="str">
        <f t="shared" si="5"/>
        <v>MERCH.</v>
      </c>
      <c r="K10" s="770" t="str">
        <f t="shared" si="5"/>
        <v>MERCH.</v>
      </c>
      <c r="L10" s="770" t="str">
        <f t="shared" si="5"/>
        <v>MERCH.</v>
      </c>
      <c r="M10" s="770" t="str">
        <f t="shared" si="5"/>
        <v>MERCH.</v>
      </c>
      <c r="N10" s="770" t="str">
        <f t="shared" si="5"/>
        <v>MERCH.</v>
      </c>
      <c r="O10" s="770" t="str">
        <f t="shared" si="5"/>
        <v>MERCH.</v>
      </c>
      <c r="P10" s="770" t="str">
        <f t="shared" si="5"/>
        <v>MERCH.</v>
      </c>
      <c r="Q10" s="770" t="str">
        <f t="shared" si="5"/>
        <v>MERCH.</v>
      </c>
      <c r="R10" s="770" t="str">
        <f t="shared" si="5"/>
        <v>MERCH.</v>
      </c>
      <c r="S10" s="770" t="str">
        <f t="shared" si="5"/>
        <v>MERCH.</v>
      </c>
      <c r="T10" s="770" t="str">
        <f t="shared" si="5"/>
        <v>MERCH.</v>
      </c>
      <c r="U10" s="770" t="str">
        <f t="shared" si="5"/>
        <v>MERCH.</v>
      </c>
      <c r="V10" s="770" t="str">
        <f t="shared" si="5"/>
        <v>MERCH.</v>
      </c>
      <c r="W10" s="770" t="str">
        <f>IF(W6=0,"",IF(W8=0,"PPA",IF(W7=0,"MERCH.","BLENDED")))</f>
        <v>MERCH.</v>
      </c>
      <c r="X10" s="771" t="str">
        <f>IF(X6=0,"",IF(X8=0,"PPA",IF(X7=0,"MERCH.","BLENDED")))</f>
        <v/>
      </c>
      <c r="Y10" s="453"/>
      <c r="Z10" s="453"/>
      <c r="AA10" s="453"/>
      <c r="AB10" s="170"/>
      <c r="AC10" s="170"/>
      <c r="AD10" s="170"/>
    </row>
    <row r="11" spans="1:30" s="98" customFormat="1" ht="12.6" customHeight="1" outlineLevel="1">
      <c r="A11" s="175"/>
      <c r="B11" s="170"/>
      <c r="C11" s="189"/>
      <c r="D11" s="189"/>
      <c r="E11" s="454"/>
      <c r="F11" s="454"/>
      <c r="G11" s="454"/>
      <c r="H11" s="453"/>
      <c r="I11" s="453"/>
      <c r="J11" s="453"/>
      <c r="K11" s="453"/>
      <c r="L11" s="453"/>
      <c r="M11" s="453"/>
      <c r="N11" s="453"/>
      <c r="O11" s="453"/>
      <c r="P11" s="453"/>
      <c r="Q11" s="453"/>
      <c r="R11" s="453"/>
      <c r="S11" s="453"/>
      <c r="T11" s="453"/>
      <c r="U11" s="453"/>
      <c r="V11" s="453"/>
      <c r="W11" s="453"/>
      <c r="X11" s="453"/>
      <c r="Y11" s="453"/>
      <c r="Z11" s="453"/>
      <c r="AA11" s="453"/>
      <c r="AB11" s="170"/>
      <c r="AC11" s="170"/>
      <c r="AD11" s="170"/>
    </row>
    <row r="12" spans="1:30" s="98" customFormat="1" ht="12.6" customHeight="1" outlineLevel="1">
      <c r="A12" s="758" t="s">
        <v>140</v>
      </c>
      <c r="B12" s="641"/>
      <c r="C12" s="772">
        <f>IF('Project Assumptions'!$C$66="Yes",C25,C23)</f>
        <v>30.612399999999997</v>
      </c>
      <c r="D12" s="772">
        <f>IF('Project Assumptions'!$C$66="Yes",D25,D23)</f>
        <v>30.61239999999999</v>
      </c>
      <c r="E12" s="772">
        <f>IF('Project Assumptions'!$C$66="Yes",E25,E23)</f>
        <v>30.612399999999997</v>
      </c>
      <c r="F12" s="772">
        <f>IF('Project Assumptions'!$C$66="Yes",F25,F23)</f>
        <v>30.612399999999997</v>
      </c>
      <c r="G12" s="772">
        <f>IF('Project Assumptions'!$C$66="Yes",G25,G23)</f>
        <v>30.612399999999997</v>
      </c>
      <c r="H12" s="772">
        <f>IF('Project Assumptions'!$C$66="Yes",H25,H23)</f>
        <v>30.61239999999999</v>
      </c>
      <c r="I12" s="772">
        <f>IF('Project Assumptions'!$C$66="Yes",I25,I23)</f>
        <v>30.61239999999999</v>
      </c>
      <c r="J12" s="772">
        <f>IF('Project Assumptions'!$C$66="Yes",J25,J23)</f>
        <v>30.61239999999999</v>
      </c>
      <c r="K12" s="772">
        <f>IF('Project Assumptions'!$C$66="Yes",K25,K23)</f>
        <v>30.61239999999999</v>
      </c>
      <c r="L12" s="772">
        <f>IF('Project Assumptions'!$C$66="Yes",L25,L23)</f>
        <v>30.61239999999999</v>
      </c>
      <c r="M12" s="772">
        <f>IF('Project Assumptions'!$C$66="Yes",M25,M23)</f>
        <v>30.61239999999999</v>
      </c>
      <c r="N12" s="772">
        <f>IF('Project Assumptions'!$C$66="Yes",N25,N23)</f>
        <v>30.61239999999999</v>
      </c>
      <c r="O12" s="772">
        <f>IF('Project Assumptions'!$C$66="Yes",O25,O23)</f>
        <v>30.61239999999999</v>
      </c>
      <c r="P12" s="772">
        <f>IF('Project Assumptions'!$C$66="Yes",P25,P23)</f>
        <v>30.61239999999999</v>
      </c>
      <c r="Q12" s="772">
        <f>IF('Project Assumptions'!$C$66="Yes",Q25,Q23)</f>
        <v>30.61239999999999</v>
      </c>
      <c r="R12" s="772">
        <f>IF('Project Assumptions'!$C$66="Yes",R25,R23)</f>
        <v>30.61239999999999</v>
      </c>
      <c r="S12" s="772">
        <f>IF('Project Assumptions'!$C$66="Yes",S25,S23)</f>
        <v>30.61239999999999</v>
      </c>
      <c r="T12" s="772">
        <f>IF('Project Assumptions'!$C$66="Yes",T25,T23)</f>
        <v>30.61239999999999</v>
      </c>
      <c r="U12" s="772">
        <f>IF('Project Assumptions'!$C$66="Yes",U25,U23)</f>
        <v>30.61239999999999</v>
      </c>
      <c r="V12" s="772">
        <f>IF('Project Assumptions'!$C$66="Yes",V25,V23)</f>
        <v>30.61239999999999</v>
      </c>
      <c r="W12" s="772">
        <f>IF('Project Assumptions'!$C$66="Yes",W25,W23)</f>
        <v>30.61239999999999</v>
      </c>
      <c r="X12" s="773">
        <f>IF('Project Assumptions'!$C$66="Yes",X25,X23)</f>
        <v>0</v>
      </c>
      <c r="Y12" s="453"/>
      <c r="Z12" s="453"/>
      <c r="AA12" s="453"/>
      <c r="AB12" s="170"/>
      <c r="AC12" s="170"/>
      <c r="AD12" s="170"/>
    </row>
    <row r="13" spans="1:30" s="98" customFormat="1" ht="12.6" customHeight="1" outlineLevel="1">
      <c r="A13" s="678" t="s">
        <v>141</v>
      </c>
      <c r="B13" s="179"/>
      <c r="C13" s="453">
        <f>IF(C7=0,0,PPA_Price)</f>
        <v>4</v>
      </c>
      <c r="D13" s="453">
        <f t="shared" ref="D13:X13" si="6">IF(D7=0,0,PPA_Price)</f>
        <v>4</v>
      </c>
      <c r="E13" s="453">
        <f t="shared" si="6"/>
        <v>4</v>
      </c>
      <c r="F13" s="453">
        <f t="shared" si="6"/>
        <v>4</v>
      </c>
      <c r="G13" s="453">
        <f t="shared" si="6"/>
        <v>4</v>
      </c>
      <c r="H13" s="453">
        <f t="shared" si="6"/>
        <v>0</v>
      </c>
      <c r="I13" s="453">
        <f t="shared" si="6"/>
        <v>0</v>
      </c>
      <c r="J13" s="453">
        <f t="shared" si="6"/>
        <v>0</v>
      </c>
      <c r="K13" s="453">
        <f t="shared" si="6"/>
        <v>0</v>
      </c>
      <c r="L13" s="453">
        <f t="shared" si="6"/>
        <v>0</v>
      </c>
      <c r="M13" s="453">
        <f t="shared" si="6"/>
        <v>0</v>
      </c>
      <c r="N13" s="453">
        <f t="shared" si="6"/>
        <v>0</v>
      </c>
      <c r="O13" s="453">
        <f t="shared" si="6"/>
        <v>0</v>
      </c>
      <c r="P13" s="453">
        <f t="shared" si="6"/>
        <v>0</v>
      </c>
      <c r="Q13" s="453">
        <f t="shared" si="6"/>
        <v>0</v>
      </c>
      <c r="R13" s="453">
        <f t="shared" si="6"/>
        <v>0</v>
      </c>
      <c r="S13" s="453">
        <f t="shared" si="6"/>
        <v>0</v>
      </c>
      <c r="T13" s="453">
        <f t="shared" si="6"/>
        <v>0</v>
      </c>
      <c r="U13" s="453">
        <f t="shared" si="6"/>
        <v>0</v>
      </c>
      <c r="V13" s="453">
        <f t="shared" si="6"/>
        <v>0</v>
      </c>
      <c r="W13" s="453">
        <f t="shared" si="6"/>
        <v>0</v>
      </c>
      <c r="X13" s="774">
        <f t="shared" si="6"/>
        <v>0</v>
      </c>
      <c r="Y13" s="453"/>
      <c r="Z13" s="453"/>
      <c r="AA13" s="453"/>
      <c r="AB13" s="170"/>
      <c r="AC13" s="170"/>
      <c r="AD13" s="170"/>
    </row>
    <row r="14" spans="1:30" s="98" customFormat="1" ht="12.6" customHeight="1" outlineLevel="1">
      <c r="A14" s="678"/>
      <c r="B14" s="179"/>
      <c r="C14" s="453">
        <f>IF(C8=0,0,CHOOSE('Project Assumptions'!$C$63,C63,C64,C65,C66))</f>
        <v>0</v>
      </c>
      <c r="D14" s="453">
        <f>IF(D8=0,0,CHOOSE('Project Assumptions'!$C$63,D63,D64,D65,D66))</f>
        <v>0</v>
      </c>
      <c r="E14" s="453">
        <f>IF(E8=0,0,CHOOSE('Project Assumptions'!$C$63,E63,E64,E65,E66))</f>
        <v>0</v>
      </c>
      <c r="F14" s="453">
        <f>IF(F8=0,0,CHOOSE('Project Assumptions'!$C$63,F63,F64,F65,F66))</f>
        <v>0</v>
      </c>
      <c r="G14" s="453">
        <f>IF(G8=0,0,CHOOSE('Project Assumptions'!$C$63,G63,G64,G65,G66))</f>
        <v>5.6997641986416658</v>
      </c>
      <c r="H14" s="453">
        <f>IF(H8=0,0,CHOOSE('Project Assumptions'!$C$63,H63,H64,H65,H66))</f>
        <v>5.7712527665568336</v>
      </c>
      <c r="I14" s="453">
        <f>IF(I8=0,0,CHOOSE('Project Assumptions'!$C$63,I63,I64,I65,I66))</f>
        <v>5.8419008607681322</v>
      </c>
      <c r="J14" s="453">
        <f>IF(J8=0,0,CHOOSE('Project Assumptions'!$C$63,J63,J64,J65,J66))</f>
        <v>5.9115937131422074</v>
      </c>
      <c r="K14" s="453">
        <f>IF(K8=0,0,CHOOSE('Project Assumptions'!$C$63,K63,K64,K65,K66))</f>
        <v>6.088941524536474</v>
      </c>
      <c r="L14" s="453">
        <f>IF(L8=0,0,CHOOSE('Project Assumptions'!$C$63,L63,L64,L65,L66))</f>
        <v>6.1596167386605574</v>
      </c>
      <c r="M14" s="453">
        <f>IF(M8=0,0,CHOOSE('Project Assumptions'!$C$63,M63,M64,M65,M66))</f>
        <v>6.3444052408203753</v>
      </c>
      <c r="N14" s="453">
        <f>IF(N8=0,0,CHOOSE('Project Assumptions'!$C$63,N63,N64,N65,N66))</f>
        <v>6.4159239908078041</v>
      </c>
      <c r="O14" s="453">
        <f>IF(O8=0,0,CHOOSE('Project Assumptions'!$C$63,O63,O64,O65,O66))</f>
        <v>6.6084017105320383</v>
      </c>
      <c r="P14" s="453">
        <f>IF(P8=0,0,CHOOSE('Project Assumptions'!$C$63,P63,P64,P65,P66))</f>
        <v>6.680604618110074</v>
      </c>
      <c r="Q14" s="453">
        <f>IF(Q8=0,0,CHOOSE('Project Assumptions'!$C$63,Q63,Q64,Q65,Q66))</f>
        <v>6.7511921386033125</v>
      </c>
      <c r="R14" s="453">
        <f>IF(R8=0,0,CHOOSE('Project Assumptions'!$C$63,R63,R64,R65,R66))</f>
        <v>6.8200023661698452</v>
      </c>
      <c r="S14" s="453">
        <f>IF(S8=0,0,CHOOSE('Project Assumptions'!$C$63,S63,S64,S65,S66))</f>
        <v>6.8868651344656273</v>
      </c>
      <c r="T14" s="453">
        <f>IF(T8=0,0,CHOOSE('Project Assumptions'!$C$63,T63,T64,T65,T66))</f>
        <v>6.951601666729605</v>
      </c>
      <c r="U14" s="453">
        <f>IF(U8=0,0,CHOOSE('Project Assumptions'!$C$63,U63,U64,U65,U66))</f>
        <v>7.014024212308402</v>
      </c>
      <c r="V14" s="453">
        <f>IF(V8=0,0,CHOOSE('Project Assumptions'!$C$63,V63,V64,V65,V66))</f>
        <v>7.0739356691218687</v>
      </c>
      <c r="W14" s="453">
        <f>IF(W8=0,0,CHOOSE('Project Assumptions'!$C$63,W63,W64,W65,W66))</f>
        <v>7.1311291915530655</v>
      </c>
      <c r="X14" s="774">
        <f>IF(X8=0,0,CHOOSE('Project Assumptions'!$C$63,X63,X64,X65,X66))</f>
        <v>0</v>
      </c>
      <c r="Y14" s="453"/>
      <c r="Z14" s="453"/>
      <c r="AA14" s="453"/>
      <c r="AB14" s="170"/>
      <c r="AC14" s="170"/>
      <c r="AD14" s="170"/>
    </row>
    <row r="15" spans="1:30" s="98" customFormat="1" ht="12.6" customHeight="1" outlineLevel="1">
      <c r="A15" s="678" t="s">
        <v>401</v>
      </c>
      <c r="B15" s="775">
        <f>NPV(B16,C15:G15)</f>
        <v>3.6047762023450041</v>
      </c>
      <c r="C15" s="455">
        <v>1</v>
      </c>
      <c r="D15" s="456">
        <f>C15*(1+'Project Assumptions'!$I$31)</f>
        <v>1</v>
      </c>
      <c r="E15" s="456">
        <f>D15*(1+'Project Assumptions'!$I$31)</f>
        <v>1</v>
      </c>
      <c r="F15" s="456">
        <f>E15*(1+'Project Assumptions'!$I$31)</f>
        <v>1</v>
      </c>
      <c r="G15" s="456">
        <f>F15*(1+'Project Assumptions'!$I$31)</f>
        <v>1</v>
      </c>
      <c r="H15" s="456">
        <f>G15*(1+'Project Assumptions'!$I$31)</f>
        <v>1</v>
      </c>
      <c r="I15" s="456">
        <f>H15*(1+'Project Assumptions'!$I$31)</f>
        <v>1</v>
      </c>
      <c r="J15" s="456">
        <f>I15*(1+'Project Assumptions'!$I$31)</f>
        <v>1</v>
      </c>
      <c r="K15" s="456">
        <f>J15*(1+'Project Assumptions'!$I$31)</f>
        <v>1</v>
      </c>
      <c r="L15" s="456">
        <f>K15*(1+'Project Assumptions'!$I$31)</f>
        <v>1</v>
      </c>
      <c r="M15" s="456">
        <f>L15*(1+'Project Assumptions'!$I$31)</f>
        <v>1</v>
      </c>
      <c r="N15" s="456">
        <f>M15*(1+'Project Assumptions'!$I$31)</f>
        <v>1</v>
      </c>
      <c r="O15" s="456">
        <f>N15*(1+'Project Assumptions'!$I$31)</f>
        <v>1</v>
      </c>
      <c r="P15" s="456">
        <f>O15*(1+'Project Assumptions'!$I$31)</f>
        <v>1</v>
      </c>
      <c r="Q15" s="456">
        <f>P15*(1+'Project Assumptions'!$I$31)</f>
        <v>1</v>
      </c>
      <c r="R15" s="456">
        <f>Q15*(1+'Project Assumptions'!$I$31)</f>
        <v>1</v>
      </c>
      <c r="S15" s="456">
        <f>R15*(1+'Project Assumptions'!$I$31)</f>
        <v>1</v>
      </c>
      <c r="T15" s="456">
        <f>S15*(1+'Project Assumptions'!$I$31)</f>
        <v>1</v>
      </c>
      <c r="U15" s="456">
        <f>T15*(1+'Project Assumptions'!$I$31)</f>
        <v>1</v>
      </c>
      <c r="V15" s="456">
        <f>U15*(1+'Project Assumptions'!$I$31)</f>
        <v>1</v>
      </c>
      <c r="W15" s="456">
        <f>V15*(1+'Project Assumptions'!$I$31)</f>
        <v>1</v>
      </c>
      <c r="X15" s="776">
        <f>W15*(1+'Project Assumptions'!$I$31)</f>
        <v>1</v>
      </c>
      <c r="Y15" s="453"/>
      <c r="Z15" s="453"/>
      <c r="AA15" s="453"/>
      <c r="AB15" s="170"/>
      <c r="AC15" s="170"/>
      <c r="AD15" s="170"/>
    </row>
    <row r="16" spans="1:30" s="98" customFormat="1" ht="12.6" customHeight="1" outlineLevel="1">
      <c r="A16" s="678" t="s">
        <v>112</v>
      </c>
      <c r="B16" s="777">
        <v>0.12</v>
      </c>
      <c r="C16" s="457">
        <v>0</v>
      </c>
      <c r="D16" s="450">
        <f>+C16</f>
        <v>0</v>
      </c>
      <c r="E16" s="450">
        <f t="shared" ref="E16:V16" si="7">+D16</f>
        <v>0</v>
      </c>
      <c r="F16" s="450">
        <f t="shared" si="7"/>
        <v>0</v>
      </c>
      <c r="G16" s="450">
        <f t="shared" si="7"/>
        <v>0</v>
      </c>
      <c r="H16" s="450">
        <f t="shared" si="7"/>
        <v>0</v>
      </c>
      <c r="I16" s="450">
        <f t="shared" si="7"/>
        <v>0</v>
      </c>
      <c r="J16" s="450">
        <f t="shared" si="7"/>
        <v>0</v>
      </c>
      <c r="K16" s="450">
        <f t="shared" si="7"/>
        <v>0</v>
      </c>
      <c r="L16" s="450">
        <f t="shared" si="7"/>
        <v>0</v>
      </c>
      <c r="M16" s="450">
        <f t="shared" si="7"/>
        <v>0</v>
      </c>
      <c r="N16" s="450">
        <f t="shared" si="7"/>
        <v>0</v>
      </c>
      <c r="O16" s="450">
        <f t="shared" si="7"/>
        <v>0</v>
      </c>
      <c r="P16" s="450">
        <f t="shared" si="7"/>
        <v>0</v>
      </c>
      <c r="Q16" s="450">
        <f t="shared" si="7"/>
        <v>0</v>
      </c>
      <c r="R16" s="450">
        <f t="shared" si="7"/>
        <v>0</v>
      </c>
      <c r="S16" s="450">
        <f t="shared" si="7"/>
        <v>0</v>
      </c>
      <c r="T16" s="450">
        <f t="shared" si="7"/>
        <v>0</v>
      </c>
      <c r="U16" s="450">
        <f t="shared" si="7"/>
        <v>0</v>
      </c>
      <c r="V16" s="450">
        <f t="shared" si="7"/>
        <v>0</v>
      </c>
      <c r="W16" s="450">
        <f>+V16</f>
        <v>0</v>
      </c>
      <c r="X16" s="778">
        <f>+W16</f>
        <v>0</v>
      </c>
      <c r="Y16" s="453"/>
      <c r="Z16" s="453"/>
      <c r="AA16" s="453"/>
      <c r="AB16" s="170"/>
      <c r="AC16" s="170"/>
      <c r="AD16" s="170"/>
    </row>
    <row r="17" spans="1:30" s="98" customFormat="1" ht="12.6" customHeight="1">
      <c r="A17" s="678" t="s">
        <v>142</v>
      </c>
      <c r="B17" s="179"/>
      <c r="C17" s="457">
        <v>0</v>
      </c>
      <c r="D17" s="450">
        <f>+C17</f>
        <v>0</v>
      </c>
      <c r="E17" s="450">
        <f t="shared" ref="E17:V17" si="8">+D17</f>
        <v>0</v>
      </c>
      <c r="F17" s="450">
        <f t="shared" si="8"/>
        <v>0</v>
      </c>
      <c r="G17" s="450">
        <f t="shared" si="8"/>
        <v>0</v>
      </c>
      <c r="H17" s="450">
        <f t="shared" si="8"/>
        <v>0</v>
      </c>
      <c r="I17" s="450">
        <f t="shared" si="8"/>
        <v>0</v>
      </c>
      <c r="J17" s="450">
        <f t="shared" si="8"/>
        <v>0</v>
      </c>
      <c r="K17" s="450">
        <f t="shared" si="8"/>
        <v>0</v>
      </c>
      <c r="L17" s="450">
        <f t="shared" si="8"/>
        <v>0</v>
      </c>
      <c r="M17" s="450">
        <f t="shared" si="8"/>
        <v>0</v>
      </c>
      <c r="N17" s="450">
        <f t="shared" si="8"/>
        <v>0</v>
      </c>
      <c r="O17" s="450">
        <f t="shared" si="8"/>
        <v>0</v>
      </c>
      <c r="P17" s="450">
        <f t="shared" si="8"/>
        <v>0</v>
      </c>
      <c r="Q17" s="450">
        <f t="shared" si="8"/>
        <v>0</v>
      </c>
      <c r="R17" s="450">
        <f t="shared" si="8"/>
        <v>0</v>
      </c>
      <c r="S17" s="450">
        <f t="shared" si="8"/>
        <v>0</v>
      </c>
      <c r="T17" s="450">
        <f t="shared" si="8"/>
        <v>0</v>
      </c>
      <c r="U17" s="450">
        <f t="shared" si="8"/>
        <v>0</v>
      </c>
      <c r="V17" s="450">
        <f t="shared" si="8"/>
        <v>0</v>
      </c>
      <c r="W17" s="450">
        <f>+V17</f>
        <v>0</v>
      </c>
      <c r="X17" s="778">
        <f>+W17</f>
        <v>0</v>
      </c>
      <c r="Y17" s="453"/>
      <c r="Z17" s="453"/>
      <c r="AA17" s="453"/>
      <c r="AB17" s="170"/>
      <c r="AC17" s="170"/>
      <c r="AD17" s="170"/>
    </row>
    <row r="18" spans="1:30" s="98" customFormat="1" ht="12.6" customHeight="1">
      <c r="A18" s="678"/>
      <c r="B18" s="179"/>
      <c r="C18" s="457"/>
      <c r="D18" s="450"/>
      <c r="E18" s="453"/>
      <c r="F18" s="453"/>
      <c r="G18" s="453"/>
      <c r="H18" s="453"/>
      <c r="I18" s="453"/>
      <c r="J18" s="453"/>
      <c r="K18" s="453"/>
      <c r="L18" s="453"/>
      <c r="M18" s="453"/>
      <c r="N18" s="453"/>
      <c r="O18" s="453"/>
      <c r="P18" s="453"/>
      <c r="Q18" s="453"/>
      <c r="R18" s="453"/>
      <c r="S18" s="453"/>
      <c r="T18" s="453"/>
      <c r="U18" s="453"/>
      <c r="V18" s="453"/>
      <c r="W18" s="453"/>
      <c r="X18" s="774"/>
      <c r="Y18" s="453"/>
      <c r="Z18" s="453"/>
      <c r="AA18" s="453"/>
      <c r="AB18" s="170"/>
      <c r="AC18" s="170"/>
      <c r="AD18" s="170"/>
    </row>
    <row r="19" spans="1:30" s="98" customFormat="1" ht="12.6" customHeight="1" outlineLevel="1">
      <c r="A19" s="779"/>
      <c r="B19" s="179"/>
      <c r="C19" s="453"/>
      <c r="D19" s="453"/>
      <c r="E19" s="453"/>
      <c r="F19" s="453"/>
      <c r="G19" s="453"/>
      <c r="H19" s="453"/>
      <c r="I19" s="453"/>
      <c r="J19" s="453"/>
      <c r="K19" s="453"/>
      <c r="L19" s="458"/>
      <c r="M19" s="458"/>
      <c r="N19" s="458"/>
      <c r="O19" s="458"/>
      <c r="P19" s="458"/>
      <c r="Q19" s="458"/>
      <c r="R19" s="458"/>
      <c r="S19" s="458"/>
      <c r="T19" s="458"/>
      <c r="U19" s="458"/>
      <c r="V19" s="458"/>
      <c r="W19" s="458"/>
      <c r="X19" s="780"/>
      <c r="Y19" s="458"/>
      <c r="Z19" s="458"/>
      <c r="AA19" s="458"/>
      <c r="AB19" s="170"/>
      <c r="AC19" s="170"/>
      <c r="AD19" s="170"/>
    </row>
    <row r="20" spans="1:30" s="101" customFormat="1" ht="15.75">
      <c r="A20" s="781" t="s">
        <v>389</v>
      </c>
      <c r="B20" s="179"/>
      <c r="C20" s="179"/>
      <c r="D20" s="179"/>
      <c r="E20" s="179"/>
      <c r="F20" s="179"/>
      <c r="G20" s="179"/>
      <c r="H20" s="179"/>
      <c r="I20" s="179"/>
      <c r="J20" s="179"/>
      <c r="K20" s="179"/>
      <c r="L20" s="179"/>
      <c r="M20" s="179"/>
      <c r="N20" s="179"/>
      <c r="O20" s="179"/>
      <c r="P20" s="179"/>
      <c r="Q20" s="179"/>
      <c r="R20" s="179"/>
      <c r="S20" s="179"/>
      <c r="T20" s="179"/>
      <c r="U20" s="179"/>
      <c r="V20" s="179"/>
      <c r="W20" s="179"/>
      <c r="X20" s="782"/>
      <c r="Y20" s="179"/>
      <c r="Z20" s="179"/>
      <c r="AA20" s="179"/>
      <c r="AB20" s="179"/>
      <c r="AC20" s="179"/>
      <c r="AD20" s="179"/>
    </row>
    <row r="21" spans="1:30" s="7" customFormat="1" ht="12.6" customHeight="1">
      <c r="A21" s="652" t="s">
        <v>390</v>
      </c>
      <c r="B21" s="654"/>
      <c r="C21" s="783">
        <f>IF(C4&gt;ProjectLife,0,('Book Income Statement'!D17/Operations!C31*1000))</f>
        <v>50.713078733031665</v>
      </c>
      <c r="D21" s="783">
        <f>IF(D4&gt;ProjectLife,0,('Book Income Statement'!E17/Operations!D31*1000))</f>
        <v>74.098568709516314</v>
      </c>
      <c r="E21" s="783">
        <f>IF(E4&gt;ProjectLife,0,('Book Income Statement'!F17/Operations!E31*1000))</f>
        <v>74.166960872022599</v>
      </c>
      <c r="F21" s="783">
        <f>IF(F4&gt;ProjectLife,0,('Book Income Statement'!G17/Operations!F31*1000))</f>
        <v>74.273597698183266</v>
      </c>
      <c r="G21" s="783">
        <f>IF(G4&gt;ProjectLife,0,('Book Income Statement'!H17/Operations!G31*1000))</f>
        <v>82.5274556731773</v>
      </c>
      <c r="H21" s="783">
        <f>IF(H4&gt;ProjectLife,0,('Book Income Statement'!I17/Operations!H31*1000))</f>
        <v>89.102958503594422</v>
      </c>
      <c r="I21" s="783">
        <f>IF(I4&gt;ProjectLife,0,('Book Income Statement'!J17/Operations!I31*1000))</f>
        <v>89.852678268605302</v>
      </c>
      <c r="J21" s="783">
        <f>IF(J4&gt;ProjectLife,0,('Book Income Statement'!K17/Operations!J31*1000))</f>
        <v>90.594757716863555</v>
      </c>
      <c r="K21" s="783">
        <f>IF(K4&gt;ProjectLife,0,('Book Income Statement'!L17/Operations!K31*1000))</f>
        <v>92.393628448369455</v>
      </c>
      <c r="L21" s="783">
        <f>IF(L4&gt;ProjectLife,0,('Book Income Statement'!M17/Operations!L31*1000))</f>
        <v>93.148933592022843</v>
      </c>
      <c r="M21" s="783">
        <f>IF(M4&gt;ProjectLife,0,('Book Income Statement'!N17/Operations!M31*1000))</f>
        <v>95.024429599783545</v>
      </c>
      <c r="N21" s="783">
        <f>IF(N4&gt;ProjectLife,0,('Book Income Statement'!O17/Operations!N31*1000))</f>
        <v>95.791819096852663</v>
      </c>
      <c r="O21" s="783">
        <f>IF(O4&gt;ProjectLife,0,('Book Income Statement'!P17/Operations!O31*1000))</f>
        <v>97.746601669758235</v>
      </c>
      <c r="P21" s="783">
        <f>IF(P4&gt;ProjectLife,0,('Book Income Statement'!Q17/Operations!P31*1000))</f>
        <v>98.524746111219315</v>
      </c>
      <c r="Q21" s="783">
        <f>IF(Q4&gt;ProjectLife,0,('Book Income Statement'!R17/Operations!Q31*1000))</f>
        <v>99.289176437665276</v>
      </c>
      <c r="R21" s="783">
        <f>IF(R4&gt;ProjectLife,0,('Book Income Statement'!S17/Operations!R31*1000))</f>
        <v>100.03836947219789</v>
      </c>
      <c r="S21" s="783">
        <f>IF(S4&gt;ProjectLife,0,('Book Income Statement'!T17/Operations!S31*1000))</f>
        <v>100.77072299000854</v>
      </c>
      <c r="T21" s="783">
        <f>IF(T4&gt;ProjectLife,0,('Book Income Statement'!U17/Operations!T31*1000))</f>
        <v>101.48455234636288</v>
      </c>
      <c r="U21" s="783">
        <f>IF(U4&gt;ProjectLife,0,('Book Income Statement'!V17/Operations!U31*1000))</f>
        <v>102.17808697340747</v>
      </c>
      <c r="V21" s="783">
        <f>IF(V4&gt;ProjectLife,0,('Book Income Statement'!W17/Operations!V31*1000))</f>
        <v>102.849466740963</v>
      </c>
      <c r="W21" s="783">
        <f>IF(W4&gt;ProjectLife+1,0,('Book Income Statement'!X17/Operations!W31*1000))</f>
        <v>103.49673817629579</v>
      </c>
      <c r="X21" s="784">
        <f>IF(X4&gt;ProjectLife,0,('Book Income Statement'!Y17/Operations!X31*1000))</f>
        <v>0</v>
      </c>
      <c r="Y21" s="459"/>
      <c r="Z21" s="459"/>
      <c r="AA21" s="459"/>
      <c r="AB21" s="186"/>
      <c r="AC21" s="186"/>
      <c r="AD21" s="186"/>
    </row>
    <row r="22" spans="1:30" s="7" customFormat="1" ht="12.6" customHeight="1">
      <c r="A22" s="785"/>
      <c r="B22" s="654"/>
      <c r="C22" s="783"/>
      <c r="D22" s="783"/>
      <c r="E22" s="783"/>
      <c r="F22" s="783"/>
      <c r="G22" s="783"/>
      <c r="H22" s="783"/>
      <c r="I22" s="783"/>
      <c r="J22" s="783"/>
      <c r="K22" s="783"/>
      <c r="L22" s="783"/>
      <c r="M22" s="783"/>
      <c r="N22" s="783"/>
      <c r="O22" s="783"/>
      <c r="P22" s="783"/>
      <c r="Q22" s="783"/>
      <c r="R22" s="783"/>
      <c r="S22" s="783"/>
      <c r="T22" s="783"/>
      <c r="U22" s="783"/>
      <c r="V22" s="783"/>
      <c r="W22" s="783"/>
      <c r="X22" s="784"/>
      <c r="Y22" s="459"/>
      <c r="Z22" s="459"/>
      <c r="AA22" s="459"/>
      <c r="AB22" s="186"/>
      <c r="AC22" s="186"/>
      <c r="AD22" s="186"/>
    </row>
    <row r="23" spans="1:30" s="7" customFormat="1" ht="12.6" customHeight="1">
      <c r="A23" s="652" t="s">
        <v>87</v>
      </c>
      <c r="B23" s="654"/>
      <c r="C23" s="786">
        <f>IF(C4&gt;ProjectLife+1,0,IF(Operations!C31=0,0,(Operations!C34*Operations!C44)/Operations!C31*1000))</f>
        <v>30.612399999999997</v>
      </c>
      <c r="D23" s="786">
        <f>IF(D4&gt;ProjectLife+1,0,IF(Operations!D31=0,0,(Operations!D34*Operations!D44)/Operations!D31*1000))</f>
        <v>30.61239999999999</v>
      </c>
      <c r="E23" s="786">
        <f>IF(E4&gt;ProjectLife+1,0,IF(Operations!E31=0,0,(Operations!E34*Operations!E44)/Operations!E31*1000))</f>
        <v>30.612399999999997</v>
      </c>
      <c r="F23" s="786">
        <f>IF(F4&gt;ProjectLife+1,0,IF(Operations!F31=0,0,(Operations!F34*Operations!F44)/Operations!F31*1000))</f>
        <v>30.612399999999997</v>
      </c>
      <c r="G23" s="786">
        <f>IF(G4&gt;ProjectLife+1,0,IF(Operations!G31=0,0,(Operations!G34*Operations!G44)/Operations!G31*1000))</f>
        <v>30.612399999999997</v>
      </c>
      <c r="H23" s="786">
        <f>IF(H4&gt;ProjectLife+1,0,IF(Operations!H31=0,0,(Operations!H34*Operations!H44)/Operations!H31*1000))</f>
        <v>30.61239999999999</v>
      </c>
      <c r="I23" s="786">
        <f>IF(I4&gt;ProjectLife+1,0,IF(Operations!I31=0,0,(Operations!I34*Operations!I44)/Operations!I31*1000))</f>
        <v>30.61239999999999</v>
      </c>
      <c r="J23" s="786">
        <f>IF(J4&gt;ProjectLife+1,0,IF(Operations!J31=0,0,(Operations!J34*Operations!J44)/Operations!J31*1000))</f>
        <v>30.61239999999999</v>
      </c>
      <c r="K23" s="786">
        <f>IF(K4&gt;ProjectLife+1,0,IF(Operations!K31=0,0,(Operations!K34*Operations!K44)/Operations!K31*1000))</f>
        <v>30.61239999999999</v>
      </c>
      <c r="L23" s="786">
        <f>IF(L4&gt;ProjectLife+1,0,IF(Operations!L31=0,0,(Operations!L34*Operations!L44)/Operations!L31*1000))</f>
        <v>30.61239999999999</v>
      </c>
      <c r="M23" s="786">
        <f>IF(M4&gt;ProjectLife+1,0,IF(Operations!M31=0,0,(Operations!M34*Operations!M44)/Operations!M31*1000))</f>
        <v>30.61239999999999</v>
      </c>
      <c r="N23" s="786">
        <f>IF(N4&gt;ProjectLife+1,0,IF(Operations!N31=0,0,(Operations!N34*Operations!N44)/Operations!N31*1000))</f>
        <v>30.61239999999999</v>
      </c>
      <c r="O23" s="786">
        <f>IF(O4&gt;ProjectLife+1,0,IF(Operations!O31=0,0,(Operations!O34*Operations!O44)/Operations!O31*1000))</f>
        <v>30.61239999999999</v>
      </c>
      <c r="P23" s="786">
        <f>IF(P4&gt;ProjectLife+1,0,IF(Operations!P31=0,0,(Operations!P34*Operations!P44)/Operations!P31*1000))</f>
        <v>30.61239999999999</v>
      </c>
      <c r="Q23" s="786">
        <f>IF(Q4&gt;ProjectLife+1,0,IF(Operations!Q31=0,0,(Operations!Q34*Operations!Q44)/Operations!Q31*1000))</f>
        <v>30.61239999999999</v>
      </c>
      <c r="R23" s="786">
        <f>IF(R4&gt;ProjectLife+1,0,IF(Operations!R31=0,0,(Operations!R34*Operations!R44)/Operations!R31*1000))</f>
        <v>30.61239999999999</v>
      </c>
      <c r="S23" s="786">
        <f>IF(S4&gt;ProjectLife+1,0,IF(Operations!S31=0,0,(Operations!S34*Operations!S44)/Operations!S31*1000))</f>
        <v>30.61239999999999</v>
      </c>
      <c r="T23" s="786">
        <f>IF(T4&gt;ProjectLife+1,0,IF(Operations!T31=0,0,(Operations!T34*Operations!T44)/Operations!T31*1000))</f>
        <v>30.61239999999999</v>
      </c>
      <c r="U23" s="786">
        <f>IF(U4&gt;ProjectLife+1,0,IF(Operations!U31=0,0,(Operations!U34*Operations!U44)/Operations!U31*1000))</f>
        <v>30.61239999999999</v>
      </c>
      <c r="V23" s="786">
        <f>IF(V4&gt;ProjectLife+1,0,IF(Operations!V31=0,0,(Operations!V34*Operations!V44)/Operations!V31*1000))</f>
        <v>30.61239999999999</v>
      </c>
      <c r="W23" s="786">
        <f>IF(W4&gt;ProjectLife+1,0,IF(Operations!W31=0,0,(Operations!W34*Operations!W44)/Operations!W31*1000))</f>
        <v>30.61239999999999</v>
      </c>
      <c r="X23" s="1137">
        <f>IF(X4&gt;ProjectLife+1,0,IF(Operations!X31=0,0,(Operations!X34*Operations!X44)/Operations!X31*1000))</f>
        <v>0</v>
      </c>
      <c r="Y23" s="460"/>
      <c r="Z23" s="460"/>
      <c r="AA23" s="460"/>
      <c r="AB23" s="186"/>
      <c r="AC23" s="186"/>
      <c r="AD23" s="186"/>
    </row>
    <row r="24" spans="1:30" s="7" customFormat="1" ht="12.6" customHeight="1">
      <c r="A24" s="652" t="s">
        <v>148</v>
      </c>
      <c r="B24" s="654"/>
      <c r="C24" s="787">
        <f>IF(C4&gt;ProjectLife+1,0,IF(Operations!C31=0,0,VEP*((1+VEP_ESCAL)^('PPA Assumptions &amp; Summary'!C5-'Project Assumptions'!$N$6))))</f>
        <v>0.89012066365007547</v>
      </c>
      <c r="D24" s="787">
        <f>IF(D4&gt;ProjectLife+1,0,IF(Operations!D31=0,0,VEP*((1+VEP_ESCAL)^('PPA Assumptions &amp; Summary'!D5-'Project Assumptions'!$N$6))))</f>
        <v>0.91682428355957779</v>
      </c>
      <c r="E24" s="787">
        <f>IF(E4&gt;ProjectLife+1,0,IF(Operations!E31=0,0,VEP*((1+VEP_ESCAL)^('PPA Assumptions &amp; Summary'!E5-'Project Assumptions'!$N$6))))</f>
        <v>0.94432901206636499</v>
      </c>
      <c r="F24" s="787">
        <f>IF(F4&gt;ProjectLife+1,0,IF(Operations!F31=0,0,VEP*((1+VEP_ESCAL)^('PPA Assumptions &amp; Summary'!F5-'Project Assumptions'!$N$6))))</f>
        <v>0.97265888242835608</v>
      </c>
      <c r="G24" s="787">
        <f>IF(G4&gt;ProjectLife+1,0,IF(Operations!G31=0,0,VEP*((1+VEP_ESCAL)^('PPA Assumptions &amp; Summary'!G5-'Project Assumptions'!$N$6))))</f>
        <v>1.0018386489012066</v>
      </c>
      <c r="H24" s="787">
        <f>IF(H4&gt;ProjectLife+1,0,IF(Operations!H31=0,0,VEP*((1+VEP_ESCAL)^('PPA Assumptions &amp; Summary'!H5-'Project Assumptions'!$N$6))))</f>
        <v>1.0318938083682427</v>
      </c>
      <c r="I24" s="787">
        <f>IF(I4&gt;ProjectLife+1,0,IF(Operations!I31=0,0,VEP*((1+VEP_ESCAL)^('PPA Assumptions &amp; Summary'!I5-'Project Assumptions'!$N$6))))</f>
        <v>1.0628506226192902</v>
      </c>
      <c r="J24" s="787">
        <f>IF(J4&gt;ProjectLife+1,0,IF(Operations!J31=0,0,VEP*((1+VEP_ESCAL)^('PPA Assumptions &amp; Summary'!J5-'Project Assumptions'!$N$6))))</f>
        <v>1.0947361412978689</v>
      </c>
      <c r="K24" s="787">
        <f>IF(K4&gt;ProjectLife+1,0,IF(Operations!K31=0,0,VEP*((1+VEP_ESCAL)^('PPA Assumptions &amp; Summary'!K5-'Project Assumptions'!$N$6))))</f>
        <v>1.1275782255368048</v>
      </c>
      <c r="L24" s="787">
        <f>IF(L4&gt;ProjectLife+1,0,IF(Operations!L31=0,0,VEP*((1+VEP_ESCAL)^('PPA Assumptions &amp; Summary'!L5-'Project Assumptions'!$N$6))))</f>
        <v>1.1614055723029091</v>
      </c>
      <c r="M24" s="787">
        <f>IF(M4&gt;ProjectLife+1,0,IF(Operations!M31=0,0,VEP*((1+VEP_ESCAL)^('PPA Assumptions &amp; Summary'!M5-'Project Assumptions'!$N$6))))</f>
        <v>1.1962477394719964</v>
      </c>
      <c r="N24" s="787">
        <f>IF(N4&gt;ProjectLife+1,0,IF(Operations!N31=0,0,VEP*((1+VEP_ESCAL)^('PPA Assumptions &amp; Summary'!N5-'Project Assumptions'!$N$6))))</f>
        <v>1.2321351716561562</v>
      </c>
      <c r="O24" s="787">
        <f>IF(O4&gt;ProjectLife+1,0,IF(Operations!O31=0,0,VEP*((1+VEP_ESCAL)^('PPA Assumptions &amp; Summary'!O5-'Project Assumptions'!$N$6))))</f>
        <v>1.2690992268058408</v>
      </c>
      <c r="P24" s="787">
        <f>IF(P4&gt;ProjectLife+1,0,IF(Operations!P31=0,0,VEP*((1+VEP_ESCAL)^('PPA Assumptions &amp; Summary'!P5-'Project Assumptions'!$N$6))))</f>
        <v>1.3071722036100157</v>
      </c>
      <c r="Q24" s="787">
        <f>IF(Q4&gt;ProjectLife+1,0,IF(Operations!Q31=0,0,VEP*((1+VEP_ESCAL)^('PPA Assumptions &amp; Summary'!Q5-'Project Assumptions'!$N$6))))</f>
        <v>1.3463873697183164</v>
      </c>
      <c r="R24" s="787">
        <f>IF(R4&gt;ProjectLife+1,0,IF(Operations!R31=0,0,VEP*((1+VEP_ESCAL)^('PPA Assumptions &amp; Summary'!R5-'Project Assumptions'!$N$6))))</f>
        <v>1.386778990809866</v>
      </c>
      <c r="S24" s="787">
        <f>IF(S4&gt;ProjectLife+1,0,IF(Operations!S31=0,0,VEP*((1+VEP_ESCAL)^('PPA Assumptions &amp; Summary'!S5-'Project Assumptions'!$N$6))))</f>
        <v>1.4283823605341617</v>
      </c>
      <c r="T24" s="787">
        <f>IF(T4&gt;ProjectLife+1,0,IF(Operations!T31=0,0,VEP*((1+VEP_ESCAL)^('PPA Assumptions &amp; Summary'!T5-'Project Assumptions'!$N$6))))</f>
        <v>1.4712338313501867</v>
      </c>
      <c r="U24" s="787">
        <f>IF(U4&gt;ProjectLife+1,0,IF(Operations!U31=0,0,VEP*((1+VEP_ESCAL)^('PPA Assumptions &amp; Summary'!U5-'Project Assumptions'!$N$6))))</f>
        <v>1.5153708462906923</v>
      </c>
      <c r="V24" s="787">
        <f>IF(V4&gt;ProjectLife+1,0,IF(Operations!V31=0,0,VEP*((1+VEP_ESCAL)^('PPA Assumptions &amp; Summary'!V5-'Project Assumptions'!$N$6))))</f>
        <v>1.560831971679413</v>
      </c>
      <c r="W24" s="787">
        <f>IF(W4&gt;ProjectLife+1,0,IF(Operations!W31=0,0,VEP*((1+VEP_ESCAL)^('PPA Assumptions &amp; Summary'!W5-'Project Assumptions'!$N$6))))</f>
        <v>1.6076569308297954</v>
      </c>
      <c r="X24" s="1138">
        <f>IF(X4&gt;ProjectLife+1,0,IF(Operations!X31=0,0,VEP*((1+VEP_ESCAL)^('PPA Assumptions &amp; Summary'!X5-'Project Assumptions'!$N$6))))</f>
        <v>0</v>
      </c>
      <c r="Y24" s="461"/>
      <c r="Z24" s="461"/>
      <c r="AA24" s="461"/>
      <c r="AB24" s="186"/>
      <c r="AC24" s="186"/>
      <c r="AD24" s="186"/>
    </row>
    <row r="25" spans="1:30" s="7" customFormat="1" ht="12.6" customHeight="1">
      <c r="A25" s="788" t="s">
        <v>143</v>
      </c>
      <c r="B25" s="789"/>
      <c r="C25" s="790">
        <f t="shared" ref="C25:V25" si="9">IF(C4&gt;ProjectLife,0,SUM(C23:C24))</f>
        <v>31.502520663650074</v>
      </c>
      <c r="D25" s="790">
        <f t="shared" si="9"/>
        <v>31.529224283559568</v>
      </c>
      <c r="E25" s="790">
        <f t="shared" si="9"/>
        <v>31.556729012066363</v>
      </c>
      <c r="F25" s="790">
        <f t="shared" si="9"/>
        <v>31.585058882428353</v>
      </c>
      <c r="G25" s="790">
        <f t="shared" si="9"/>
        <v>31.614238648901203</v>
      </c>
      <c r="H25" s="790">
        <f t="shared" si="9"/>
        <v>31.644293808368232</v>
      </c>
      <c r="I25" s="790">
        <f t="shared" si="9"/>
        <v>31.675250622619281</v>
      </c>
      <c r="J25" s="790">
        <f t="shared" si="9"/>
        <v>31.707136141297859</v>
      </c>
      <c r="K25" s="790">
        <f t="shared" si="9"/>
        <v>31.739978225536795</v>
      </c>
      <c r="L25" s="790">
        <f t="shared" si="9"/>
        <v>31.773805572302898</v>
      </c>
      <c r="M25" s="790">
        <f t="shared" si="9"/>
        <v>31.808647739471986</v>
      </c>
      <c r="N25" s="790">
        <f t="shared" si="9"/>
        <v>31.844535171656148</v>
      </c>
      <c r="O25" s="790">
        <f t="shared" si="9"/>
        <v>31.881499226805833</v>
      </c>
      <c r="P25" s="790">
        <f t="shared" si="9"/>
        <v>31.919572203610006</v>
      </c>
      <c r="Q25" s="790">
        <f t="shared" si="9"/>
        <v>31.958787369718308</v>
      </c>
      <c r="R25" s="790">
        <f t="shared" si="9"/>
        <v>31.999178990809856</v>
      </c>
      <c r="S25" s="790">
        <f t="shared" si="9"/>
        <v>32.040782360534152</v>
      </c>
      <c r="T25" s="790">
        <f t="shared" si="9"/>
        <v>32.083633831350177</v>
      </c>
      <c r="U25" s="790">
        <f t="shared" si="9"/>
        <v>32.12777084629068</v>
      </c>
      <c r="V25" s="790">
        <f t="shared" si="9"/>
        <v>32.173231971679407</v>
      </c>
      <c r="W25" s="790">
        <f>IF(W4&gt;ProjectLife+1,0,SUM(W23:W24))</f>
        <v>32.220056930829784</v>
      </c>
      <c r="X25" s="791">
        <f>IF(X4&gt;ProjectLife,0,SUM(X23:X24))</f>
        <v>0</v>
      </c>
      <c r="Y25" s="460"/>
      <c r="Z25" s="460"/>
      <c r="AA25" s="460"/>
      <c r="AB25" s="186"/>
      <c r="AC25" s="186"/>
      <c r="AD25" s="186"/>
    </row>
    <row r="26" spans="1:30" s="7" customFormat="1" ht="12.6" customHeight="1">
      <c r="A26" s="398"/>
      <c r="B26" s="186"/>
      <c r="C26" s="452"/>
      <c r="D26" s="452"/>
      <c r="E26" s="452"/>
      <c r="F26" s="452"/>
      <c r="G26" s="452"/>
      <c r="H26" s="452"/>
      <c r="I26" s="452"/>
      <c r="J26" s="452"/>
      <c r="K26" s="452"/>
      <c r="L26" s="452"/>
      <c r="M26" s="452"/>
      <c r="N26" s="452"/>
      <c r="O26" s="452"/>
      <c r="P26" s="452"/>
      <c r="Q26" s="452"/>
      <c r="R26" s="452"/>
      <c r="S26" s="452"/>
      <c r="T26" s="452"/>
      <c r="U26" s="452"/>
      <c r="V26" s="452"/>
      <c r="W26" s="452"/>
      <c r="X26" s="452"/>
      <c r="Y26" s="452"/>
      <c r="Z26" s="452"/>
      <c r="AA26" s="452"/>
      <c r="AB26" s="186"/>
      <c r="AC26" s="186"/>
      <c r="AD26" s="186"/>
    </row>
    <row r="27" spans="1:30" s="101" customFormat="1" ht="15.75">
      <c r="A27" s="792" t="s">
        <v>161</v>
      </c>
      <c r="B27" s="793"/>
      <c r="C27" s="793"/>
      <c r="D27" s="793"/>
      <c r="E27" s="793"/>
      <c r="F27" s="793"/>
      <c r="G27" s="793"/>
      <c r="H27" s="793"/>
      <c r="I27" s="793"/>
      <c r="J27" s="793"/>
      <c r="K27" s="793"/>
      <c r="L27" s="793"/>
      <c r="M27" s="793"/>
      <c r="N27" s="793"/>
      <c r="O27" s="793"/>
      <c r="P27" s="793"/>
      <c r="Q27" s="793"/>
      <c r="R27" s="793"/>
      <c r="S27" s="793"/>
      <c r="T27" s="793"/>
      <c r="U27" s="793"/>
      <c r="V27" s="793"/>
      <c r="W27" s="793"/>
      <c r="X27" s="794"/>
      <c r="Y27" s="440"/>
      <c r="Z27" s="440"/>
      <c r="AA27" s="440"/>
      <c r="AB27" s="179"/>
      <c r="AC27" s="179"/>
      <c r="AD27" s="179"/>
    </row>
    <row r="28" spans="1:30" s="101" customFormat="1" ht="11.25">
      <c r="A28" s="795" t="s">
        <v>451</v>
      </c>
      <c r="B28" s="440" t="s">
        <v>414</v>
      </c>
      <c r="C28" s="440"/>
      <c r="D28" s="440"/>
      <c r="E28" s="440"/>
      <c r="F28" s="440"/>
      <c r="G28" s="440"/>
      <c r="H28" s="440"/>
      <c r="I28" s="440"/>
      <c r="J28" s="440"/>
      <c r="K28" s="440"/>
      <c r="L28" s="440"/>
      <c r="M28" s="440"/>
      <c r="N28" s="440"/>
      <c r="O28" s="440"/>
      <c r="P28" s="440"/>
      <c r="Q28" s="440"/>
      <c r="R28" s="440"/>
      <c r="S28" s="440"/>
      <c r="T28" s="440"/>
      <c r="U28" s="440"/>
      <c r="V28" s="440"/>
      <c r="W28" s="440"/>
      <c r="X28" s="796"/>
      <c r="Y28" s="440"/>
      <c r="Z28" s="440"/>
      <c r="AA28" s="440"/>
      <c r="AB28" s="179"/>
      <c r="AC28" s="179"/>
      <c r="AD28" s="179"/>
    </row>
    <row r="29" spans="1:30">
      <c r="A29" s="779" t="s">
        <v>582</v>
      </c>
      <c r="B29" s="462">
        <f t="shared" ref="B29:B34" si="10">AVERAGE(C29:V29)</f>
        <v>698.17122218125132</v>
      </c>
      <c r="C29" s="797">
        <f>'Book Income Statement'!D28</f>
        <v>472.12000000000006</v>
      </c>
      <c r="D29" s="797">
        <f>'Book Income Statement'!E28</f>
        <v>495.91025497737564</v>
      </c>
      <c r="E29" s="797">
        <f>'Book Income Statement'!F28</f>
        <v>517.87003021719454</v>
      </c>
      <c r="F29" s="797">
        <f>'Book Income Statement'!G28</f>
        <v>533.40613112371045</v>
      </c>
      <c r="G29" s="797">
        <f>'Book Income Statement'!H28</f>
        <v>577.90913521853633</v>
      </c>
      <c r="H29" s="797">
        <f>'Book Income Statement'!I28</f>
        <v>611.12218494763442</v>
      </c>
      <c r="I29" s="797">
        <f>'Book Income Statement'!J28</f>
        <v>629.45585049606359</v>
      </c>
      <c r="J29" s="797">
        <f>'Book Income Statement'!K28</f>
        <v>648.33952601094552</v>
      </c>
      <c r="K29" s="797">
        <f>'Book Income Statement'!L28</f>
        <v>667.7897117912737</v>
      </c>
      <c r="L29" s="797">
        <f>'Book Income Statement'!M28</f>
        <v>687.82340314501198</v>
      </c>
      <c r="M29" s="797">
        <f>'Book Income Statement'!N28</f>
        <v>708.45810523936245</v>
      </c>
      <c r="N29" s="797">
        <f>'Book Income Statement'!O28</f>
        <v>729.71184839654325</v>
      </c>
      <c r="O29" s="797">
        <f>'Book Income Statement'!P28</f>
        <v>751.60320384843953</v>
      </c>
      <c r="P29" s="797">
        <f>'Book Income Statement'!Q28</f>
        <v>774.1512999638926</v>
      </c>
      <c r="Q29" s="797">
        <f>'Book Income Statement'!R28</f>
        <v>797.37583896280944</v>
      </c>
      <c r="R29" s="797">
        <f>'Book Income Statement'!S28</f>
        <v>821.29711413169377</v>
      </c>
      <c r="S29" s="797">
        <f>'Book Income Statement'!T28</f>
        <v>845.9360275556445</v>
      </c>
      <c r="T29" s="797">
        <f>'Book Income Statement'!U28</f>
        <v>871.31410838231386</v>
      </c>
      <c r="U29" s="797">
        <f>'Book Income Statement'!V28</f>
        <v>897.45353163378331</v>
      </c>
      <c r="V29" s="797">
        <f>'Book Income Statement'!W28</f>
        <v>924.37713758279676</v>
      </c>
      <c r="W29" s="797">
        <f>'Book Income Statement'!X28</f>
        <v>952.10845171028063</v>
      </c>
      <c r="X29" s="798">
        <f>'Book Income Statement'!Y28</f>
        <v>0</v>
      </c>
      <c r="Y29" s="399"/>
      <c r="Z29" s="399"/>
      <c r="AA29" s="399"/>
    </row>
    <row r="30" spans="1:30">
      <c r="A30" s="779" t="s">
        <v>581</v>
      </c>
      <c r="B30" s="463">
        <f t="shared" si="10"/>
        <v>1812.7829445245777</v>
      </c>
      <c r="C30" s="797">
        <f>'Book Income Statement'!D34</f>
        <v>1349.28</v>
      </c>
      <c r="D30" s="797">
        <f>'Book Income Statement'!E34</f>
        <v>1389.7584000000002</v>
      </c>
      <c r="E30" s="797">
        <f>'Book Income Statement'!F34</f>
        <v>1431.4511520000001</v>
      </c>
      <c r="F30" s="797">
        <f>'Book Income Statement'!G34</f>
        <v>1474.3946865600001</v>
      </c>
      <c r="G30" s="797">
        <f>'Book Income Statement'!H34</f>
        <v>1518.6265271567997</v>
      </c>
      <c r="H30" s="797">
        <f>'Book Income Statement'!I34</f>
        <v>1564.1853229715036</v>
      </c>
      <c r="I30" s="797">
        <f>'Book Income Statement'!J34</f>
        <v>1611.1108826606489</v>
      </c>
      <c r="J30" s="797">
        <f>'Book Income Statement'!K34</f>
        <v>1659.4442091404687</v>
      </c>
      <c r="K30" s="797">
        <f>'Book Income Statement'!L34</f>
        <v>1709.2275354146825</v>
      </c>
      <c r="L30" s="797">
        <f>'Book Income Statement'!M34</f>
        <v>1760.504361477123</v>
      </c>
      <c r="M30" s="797">
        <f>'Book Income Statement'!N34</f>
        <v>1813.3194923214364</v>
      </c>
      <c r="N30" s="797">
        <f>'Book Income Statement'!O34</f>
        <v>1867.71907709108</v>
      </c>
      <c r="O30" s="797">
        <f>'Book Income Statement'!P34</f>
        <v>1923.7506494038118</v>
      </c>
      <c r="P30" s="797">
        <f>'Book Income Statement'!Q34</f>
        <v>1981.4631688859263</v>
      </c>
      <c r="Q30" s="797">
        <f>'Book Income Statement'!R34</f>
        <v>2040.9070639525041</v>
      </c>
      <c r="R30" s="797">
        <f>'Book Income Statement'!S34</f>
        <v>2102.1342758710794</v>
      </c>
      <c r="S30" s="797">
        <f>'Book Income Statement'!T34</f>
        <v>2165.1983041472113</v>
      </c>
      <c r="T30" s="797">
        <f>'Book Income Statement'!U34</f>
        <v>2230.1542532716276</v>
      </c>
      <c r="U30" s="797">
        <f>'Book Income Statement'!V34</f>
        <v>2297.0588808697767</v>
      </c>
      <c r="V30" s="797">
        <f>'Book Income Statement'!W34</f>
        <v>2365.9706472958701</v>
      </c>
      <c r="W30" s="797">
        <f>'Book Income Statement'!X34</f>
        <v>2436.9497667147461</v>
      </c>
      <c r="X30" s="798">
        <f>'Book Income Statement'!Y34</f>
        <v>0</v>
      </c>
      <c r="Y30" s="399"/>
      <c r="Z30" s="399"/>
      <c r="AA30" s="399"/>
    </row>
    <row r="31" spans="1:30">
      <c r="A31" s="779" t="s">
        <v>583</v>
      </c>
      <c r="B31" s="463">
        <f t="shared" si="10"/>
        <v>2772.9913897002275</v>
      </c>
      <c r="C31" s="797">
        <f>'Book Income Statement'!D42+'Book Income Statement'!D51</f>
        <v>774.68347852941179</v>
      </c>
      <c r="D31" s="797">
        <f>'Book Income Statement'!E42+'Book Income Statement'!E51</f>
        <v>1851.4080116647058</v>
      </c>
      <c r="E31" s="797">
        <f>'Book Income Statement'!F42+'Book Income Statement'!F51</f>
        <v>1906.950252014647</v>
      </c>
      <c r="F31" s="797">
        <f>'Book Income Statement'!G42+'Book Income Statement'!G51</f>
        <v>1964.1587595750866</v>
      </c>
      <c r="G31" s="797">
        <f>'Book Income Statement'!H42+'Book Income Statement'!H51</f>
        <v>2264.9122423623389</v>
      </c>
      <c r="H31" s="797">
        <f>'Book Income Statement'!I42+'Book Income Statement'!I51</f>
        <v>2510.7764536332088</v>
      </c>
      <c r="I31" s="797">
        <f>'Book Income Statement'!J42+'Book Income Statement'!J51</f>
        <v>2586.099747242205</v>
      </c>
      <c r="J31" s="797">
        <f>'Book Income Statement'!K42+'Book Income Statement'!K51</f>
        <v>2663.6827396594717</v>
      </c>
      <c r="K31" s="797">
        <f>'Book Income Statement'!L42+'Book Income Statement'!L51</f>
        <v>2743.5932218492553</v>
      </c>
      <c r="L31" s="797">
        <f>'Book Income Statement'!M42+'Book Income Statement'!M51</f>
        <v>2825.9010185047332</v>
      </c>
      <c r="M31" s="797">
        <f>'Book Income Statement'!N42+'Book Income Statement'!N51</f>
        <v>2910.6780490598749</v>
      </c>
      <c r="N31" s="797">
        <f>'Book Income Statement'!O42+'Book Income Statement'!O51</f>
        <v>2997.9983905316712</v>
      </c>
      <c r="O31" s="797">
        <f>'Book Income Statement'!P42+'Book Income Statement'!P51</f>
        <v>3087.9383422476212</v>
      </c>
      <c r="P31" s="797">
        <f>'Book Income Statement'!Q42+'Book Income Statement'!Q51</f>
        <v>3180.5764925150497</v>
      </c>
      <c r="Q31" s="797">
        <f>'Book Income Statement'!R42+'Book Income Statement'!R51</f>
        <v>3275.9937872905011</v>
      </c>
      <c r="R31" s="797">
        <f>'Book Income Statement'!S42+'Book Income Statement'!S51</f>
        <v>3374.2736009092168</v>
      </c>
      <c r="S31" s="797">
        <f>'Book Income Statement'!T42+'Book Income Statement'!T51</f>
        <v>3475.501808936493</v>
      </c>
      <c r="T31" s="797">
        <f>'Book Income Statement'!U42+'Book Income Statement'!U51</f>
        <v>3579.7668632045879</v>
      </c>
      <c r="U31" s="797">
        <f>'Book Income Statement'!V42+'Book Income Statement'!V51</f>
        <v>3687.1598691007252</v>
      </c>
      <c r="V31" s="797">
        <f>'Book Income Statement'!W42+'Book Income Statement'!W51</f>
        <v>3797.7746651737475</v>
      </c>
      <c r="W31" s="797">
        <f>'Book Income Statement'!X42+'Book Income Statement'!X51</f>
        <v>3911.7079051289593</v>
      </c>
      <c r="X31" s="798">
        <f>'Book Income Statement'!Y42+'Book Income Statement'!Y51</f>
        <v>0</v>
      </c>
      <c r="Z31" s="185"/>
      <c r="AA31" s="185"/>
    </row>
    <row r="32" spans="1:30">
      <c r="A32" s="779" t="s">
        <v>584</v>
      </c>
      <c r="B32" s="463">
        <f t="shared" si="10"/>
        <v>596.0367615181683</v>
      </c>
      <c r="C32" s="797">
        <f>'Book Income Statement'!D53</f>
        <v>0</v>
      </c>
      <c r="D32" s="797">
        <f>'Book Income Statement'!E53</f>
        <v>549.16369837411492</v>
      </c>
      <c r="E32" s="797">
        <f>'Book Income Statement'!F53</f>
        <v>538.06948224534494</v>
      </c>
      <c r="F32" s="797">
        <f>'Book Income Statement'!G53</f>
        <v>526.97526611657486</v>
      </c>
      <c r="G32" s="797">
        <f>'Book Income Statement'!H53</f>
        <v>515.881049987805</v>
      </c>
      <c r="H32" s="797">
        <f>'Book Income Statement'!I53</f>
        <v>504.78683385903503</v>
      </c>
      <c r="I32" s="797">
        <f>'Book Income Statement'!J53</f>
        <v>493.69261773026494</v>
      </c>
      <c r="J32" s="797">
        <f>'Book Income Statement'!K53</f>
        <v>477.05129353710993</v>
      </c>
      <c r="K32" s="797">
        <f>'Book Income Statement'!L53</f>
        <v>460.40996934395491</v>
      </c>
      <c r="L32" s="797">
        <f>'Book Income Statement'!M53</f>
        <v>443.76864515080001</v>
      </c>
      <c r="M32" s="797">
        <f>'Book Income Statement'!N53</f>
        <v>421.58021289325995</v>
      </c>
      <c r="N32" s="797">
        <f>'Book Income Statement'!O53</f>
        <v>1198.1753419071597</v>
      </c>
      <c r="O32" s="797">
        <f>'Book Income Statement'!P53</f>
        <v>1114.9687209413851</v>
      </c>
      <c r="P32" s="797">
        <f>'Book Income Statement'!Q53</f>
        <v>1015.120775782455</v>
      </c>
      <c r="Q32" s="797">
        <f>'Book Income Statement'!R53</f>
        <v>915.27283062352512</v>
      </c>
      <c r="R32" s="797">
        <f>'Book Income Statement'!S53</f>
        <v>815.42488546459481</v>
      </c>
      <c r="S32" s="797">
        <f>'Book Income Statement'!T53</f>
        <v>682.29429191935492</v>
      </c>
      <c r="T32" s="797">
        <f>'Book Income Statement'!U53</f>
        <v>532.52237418096001</v>
      </c>
      <c r="U32" s="797">
        <f>'Book Income Statement'!V53</f>
        <v>382.750456442565</v>
      </c>
      <c r="V32" s="797">
        <f>'Book Income Statement'!W53</f>
        <v>332.82648386310001</v>
      </c>
      <c r="W32" s="797">
        <f>'Book Income Statement'!X53</f>
        <v>332.82648386310001</v>
      </c>
      <c r="X32" s="798">
        <f>'Book Income Statement'!Y53</f>
        <v>0</v>
      </c>
      <c r="Z32" s="185"/>
      <c r="AA32" s="185"/>
    </row>
    <row r="33" spans="1:30">
      <c r="A33" s="779" t="s">
        <v>547</v>
      </c>
      <c r="B33" s="463">
        <f t="shared" si="10"/>
        <v>0</v>
      </c>
      <c r="C33" s="797">
        <f>'Book Income Statement'!D56</f>
        <v>0</v>
      </c>
      <c r="D33" s="797">
        <f>'Book Income Statement'!E56</f>
        <v>0</v>
      </c>
      <c r="E33" s="797">
        <f>'Book Income Statement'!F56</f>
        <v>0</v>
      </c>
      <c r="F33" s="797">
        <f>'Book Income Statement'!G56</f>
        <v>0</v>
      </c>
      <c r="G33" s="797">
        <f>'Book Income Statement'!H56</f>
        <v>0</v>
      </c>
      <c r="H33" s="797">
        <f>'Book Income Statement'!I56</f>
        <v>0</v>
      </c>
      <c r="I33" s="797">
        <f>'Book Income Statement'!J56</f>
        <v>0</v>
      </c>
      <c r="J33" s="797">
        <f>'Book Income Statement'!K56</f>
        <v>0</v>
      </c>
      <c r="K33" s="797">
        <f>'Book Income Statement'!L56</f>
        <v>0</v>
      </c>
      <c r="L33" s="797">
        <f>'Book Income Statement'!M56</f>
        <v>0</v>
      </c>
      <c r="M33" s="797">
        <f>'Book Income Statement'!N56</f>
        <v>0</v>
      </c>
      <c r="N33" s="797">
        <f>'Book Income Statement'!O56</f>
        <v>0</v>
      </c>
      <c r="O33" s="797">
        <f>'Book Income Statement'!P56</f>
        <v>0</v>
      </c>
      <c r="P33" s="797">
        <f>'Book Income Statement'!Q56</f>
        <v>0</v>
      </c>
      <c r="Q33" s="797">
        <f>'Book Income Statement'!R56</f>
        <v>0</v>
      </c>
      <c r="R33" s="797">
        <f>'Book Income Statement'!S56</f>
        <v>0</v>
      </c>
      <c r="S33" s="797">
        <f>'Book Income Statement'!T56</f>
        <v>0</v>
      </c>
      <c r="T33" s="797">
        <f>'Book Income Statement'!U56</f>
        <v>0</v>
      </c>
      <c r="U33" s="797">
        <f>'Book Income Statement'!V56</f>
        <v>0</v>
      </c>
      <c r="V33" s="797">
        <f>'Book Income Statement'!W56</f>
        <v>0</v>
      </c>
      <c r="W33" s="797">
        <f>'Book Income Statement'!X56</f>
        <v>0</v>
      </c>
      <c r="X33" s="798">
        <f>'Book Income Statement'!Y56</f>
        <v>0</v>
      </c>
      <c r="Z33" s="185"/>
      <c r="AA33" s="185"/>
    </row>
    <row r="34" spans="1:30" ht="15">
      <c r="A34" s="779" t="s">
        <v>150</v>
      </c>
      <c r="B34" s="464">
        <f t="shared" si="10"/>
        <v>11043.285128499998</v>
      </c>
      <c r="C34" s="879">
        <f>'Returns Summary'!C23</f>
        <v>13884.4678</v>
      </c>
      <c r="D34" s="879">
        <f>'Returns Summary'!D23</f>
        <v>13565.062</v>
      </c>
      <c r="E34" s="879">
        <f>'Returns Summary'!E23</f>
        <v>14992.056200000001</v>
      </c>
      <c r="F34" s="879">
        <f>'Returns Summary'!F23</f>
        <v>16286.84792</v>
      </c>
      <c r="G34" s="879">
        <f>'Returns Summary'!G23</f>
        <v>12232.53716</v>
      </c>
      <c r="H34" s="879">
        <f>'Returns Summary'!H23</f>
        <v>11863.7963</v>
      </c>
      <c r="I34" s="879">
        <f>'Returns Summary'!I23</f>
        <v>12132.80544</v>
      </c>
      <c r="J34" s="879">
        <f>'Returns Summary'!J23</f>
        <v>11711.896629999999</v>
      </c>
      <c r="K34" s="879">
        <f>'Returns Summary'!K23</f>
        <v>14783.787820000001</v>
      </c>
      <c r="L34" s="879">
        <f>'Returns Summary'!L23</f>
        <v>16482.624049999999</v>
      </c>
      <c r="M34" s="879">
        <f>'Returns Summary'!M23</f>
        <v>6880.9398499999998</v>
      </c>
      <c r="N34" s="879">
        <f>'Returns Summary'!N23</f>
        <v>7310.0180499999997</v>
      </c>
      <c r="O34" s="879">
        <f>'Returns Summary'!O23</f>
        <v>7049.1782999999996</v>
      </c>
      <c r="P34" s="879">
        <f>'Returns Summary'!P23</f>
        <v>6788.3385500000004</v>
      </c>
      <c r="Q34" s="879">
        <f>'Returns Summary'!Q23</f>
        <v>6527.4987999999994</v>
      </c>
      <c r="R34" s="879">
        <f>'Returns Summary'!R23</f>
        <v>6266.6590500000002</v>
      </c>
      <c r="S34" s="879">
        <f>'Returns Summary'!S23</f>
        <v>9194.5692999999992</v>
      </c>
      <c r="T34" s="879">
        <f>'Returns Summary'!T23</f>
        <v>9948.3898000000008</v>
      </c>
      <c r="U34" s="879">
        <f>'Returns Summary'!U23</f>
        <v>11235.624400000001</v>
      </c>
      <c r="V34" s="879">
        <f>'Returns Summary'!V23</f>
        <v>11728.605149999999</v>
      </c>
      <c r="W34" s="879">
        <f>'Returns Summary'!W23</f>
        <v>0</v>
      </c>
      <c r="X34" s="880">
        <f>'Returns Summary'!X23</f>
        <v>0</v>
      </c>
      <c r="Z34" s="402"/>
      <c r="AA34" s="402"/>
    </row>
    <row r="35" spans="1:30">
      <c r="A35" s="779" t="s">
        <v>151</v>
      </c>
      <c r="B35" s="465">
        <f>SUM(B29:B34)</f>
        <v>16923.267446424223</v>
      </c>
      <c r="C35" s="797">
        <f t="shared" ref="C35:V35" si="11">SUM(C29:C34)</f>
        <v>16480.551278529412</v>
      </c>
      <c r="D35" s="797">
        <f t="shared" si="11"/>
        <v>17851.302365016196</v>
      </c>
      <c r="E35" s="797">
        <f t="shared" si="11"/>
        <v>19386.397116477187</v>
      </c>
      <c r="F35" s="797">
        <f t="shared" si="11"/>
        <v>20785.782763375373</v>
      </c>
      <c r="G35" s="797">
        <f t="shared" si="11"/>
        <v>17109.866114725482</v>
      </c>
      <c r="H35" s="797">
        <f t="shared" si="11"/>
        <v>17054.667095411383</v>
      </c>
      <c r="I35" s="797">
        <f t="shared" si="11"/>
        <v>17453.164538129182</v>
      </c>
      <c r="J35" s="797">
        <f t="shared" si="11"/>
        <v>17160.414398347995</v>
      </c>
      <c r="K35" s="797">
        <f t="shared" si="11"/>
        <v>20364.808258399167</v>
      </c>
      <c r="L35" s="797">
        <f t="shared" si="11"/>
        <v>22200.621478277666</v>
      </c>
      <c r="M35" s="797">
        <f t="shared" si="11"/>
        <v>12734.975709513934</v>
      </c>
      <c r="N35" s="797">
        <f t="shared" si="11"/>
        <v>14103.622707926454</v>
      </c>
      <c r="O35" s="797">
        <f t="shared" si="11"/>
        <v>13927.439216441257</v>
      </c>
      <c r="P35" s="797">
        <f t="shared" si="11"/>
        <v>13739.650287147324</v>
      </c>
      <c r="Q35" s="797">
        <f t="shared" si="11"/>
        <v>13557.048320829339</v>
      </c>
      <c r="R35" s="797">
        <f t="shared" si="11"/>
        <v>13379.788926376586</v>
      </c>
      <c r="S35" s="797">
        <f t="shared" si="11"/>
        <v>16363.499732558703</v>
      </c>
      <c r="T35" s="797">
        <f t="shared" si="11"/>
        <v>17162.147399039488</v>
      </c>
      <c r="U35" s="797">
        <f t="shared" si="11"/>
        <v>18500.047138046852</v>
      </c>
      <c r="V35" s="797">
        <f t="shared" si="11"/>
        <v>19149.554083915515</v>
      </c>
      <c r="W35" s="797">
        <f>SUM(W29:W34)</f>
        <v>7633.5926074170866</v>
      </c>
      <c r="X35" s="798">
        <f>SUM(X29:X34)</f>
        <v>0</v>
      </c>
      <c r="Y35" s="399"/>
      <c r="Z35" s="399"/>
      <c r="AA35" s="399"/>
    </row>
    <row r="36" spans="1:30">
      <c r="A36" s="779"/>
      <c r="B36" s="179"/>
      <c r="C36" s="799"/>
      <c r="D36" s="799"/>
      <c r="E36" s="799"/>
      <c r="F36" s="799"/>
      <c r="G36" s="799"/>
      <c r="H36" s="799"/>
      <c r="I36" s="799"/>
      <c r="J36" s="799"/>
      <c r="K36" s="799"/>
      <c r="L36" s="799"/>
      <c r="M36" s="799"/>
      <c r="N36" s="799"/>
      <c r="O36" s="799"/>
      <c r="P36" s="799"/>
      <c r="Q36" s="799"/>
      <c r="R36" s="799"/>
      <c r="S36" s="799"/>
      <c r="T36" s="799"/>
      <c r="U36" s="799"/>
      <c r="V36" s="799"/>
      <c r="W36" s="799"/>
      <c r="X36" s="800"/>
      <c r="Y36" s="185"/>
      <c r="Z36" s="185"/>
      <c r="AA36" s="185"/>
    </row>
    <row r="37" spans="1:30">
      <c r="A37" s="803" t="s">
        <v>415</v>
      </c>
      <c r="B37" s="440" t="s">
        <v>414</v>
      </c>
      <c r="C37" s="799"/>
      <c r="D37" s="799"/>
      <c r="E37" s="799"/>
      <c r="F37" s="799"/>
      <c r="G37" s="799"/>
      <c r="H37" s="799"/>
      <c r="I37" s="799"/>
      <c r="J37" s="799"/>
      <c r="K37" s="799"/>
      <c r="L37" s="799"/>
      <c r="M37" s="799"/>
      <c r="N37" s="799"/>
      <c r="O37" s="799"/>
      <c r="P37" s="799"/>
      <c r="Q37" s="799"/>
      <c r="R37" s="799"/>
      <c r="S37" s="799"/>
      <c r="T37" s="799"/>
      <c r="U37" s="799"/>
      <c r="V37" s="799"/>
      <c r="W37" s="799"/>
      <c r="X37" s="800"/>
      <c r="Y37" s="185"/>
      <c r="Z37" s="185"/>
      <c r="AA37" s="185"/>
    </row>
    <row r="38" spans="1:30">
      <c r="A38" s="779" t="s">
        <v>416</v>
      </c>
      <c r="B38" s="466">
        <f>AVERAGE(C38:V38)</f>
        <v>1385.8412125016769</v>
      </c>
      <c r="C38" s="646">
        <f>'Book Income Statement'!D38+'Book Income Statement'!D37+'Book Income Statement'!D41+'Book Income Statement'!D39</f>
        <v>439.32965686274508</v>
      </c>
      <c r="D38" s="646">
        <f>'Book Income Statement'!E38+'Book Income Statement'!E37+'Book Income Statement'!E41+'Book Income Statement'!E39</f>
        <v>1086.0229117647059</v>
      </c>
      <c r="E38" s="646">
        <f>'Book Income Statement'!F38+'Book Income Statement'!F37+'Book Income Statement'!F41+'Book Income Statement'!F39</f>
        <v>1118.603599117647</v>
      </c>
      <c r="F38" s="646">
        <f>'Book Income Statement'!G38+'Book Income Statement'!G37+'Book Income Statement'!G41+'Book Income Statement'!G39</f>
        <v>1152.1617070911766</v>
      </c>
      <c r="G38" s="646">
        <f>'Book Income Statement'!H38+'Book Income Statement'!H37+'Book Income Statement'!H41+'Book Income Statement'!H39</f>
        <v>1186.7265583039116</v>
      </c>
      <c r="H38" s="646">
        <f>'Book Income Statement'!I38+'Book Income Statement'!I37+'Book Income Statement'!I41+'Book Income Statement'!I39</f>
        <v>1222.3283550530289</v>
      </c>
      <c r="I38" s="646">
        <f>'Book Income Statement'!J38+'Book Income Statement'!J37+'Book Income Statement'!J41+'Book Income Statement'!J39</f>
        <v>1258.9982057046197</v>
      </c>
      <c r="J38" s="646">
        <f>'Book Income Statement'!K38+'Book Income Statement'!K37+'Book Income Statement'!K41+'Book Income Statement'!K39</f>
        <v>1296.7681518757586</v>
      </c>
      <c r="K38" s="646">
        <f>'Book Income Statement'!L38+'Book Income Statement'!L37+'Book Income Statement'!L41+'Book Income Statement'!L39</f>
        <v>1335.6711964320311</v>
      </c>
      <c r="L38" s="646">
        <f>'Book Income Statement'!M38+'Book Income Statement'!M37+'Book Income Statement'!M41+'Book Income Statement'!M39</f>
        <v>1375.7413323249921</v>
      </c>
      <c r="M38" s="646">
        <f>'Book Income Statement'!N38+'Book Income Statement'!N37+'Book Income Statement'!N41+'Book Income Statement'!N39</f>
        <v>1417.0135722947418</v>
      </c>
      <c r="N38" s="646">
        <f>'Book Income Statement'!O38+'Book Income Statement'!O37+'Book Income Statement'!O41+'Book Income Statement'!O39</f>
        <v>1459.5239794635841</v>
      </c>
      <c r="O38" s="646">
        <f>'Book Income Statement'!P38+'Book Income Statement'!P37+'Book Income Statement'!P41+'Book Income Statement'!P39</f>
        <v>1503.3096988474915</v>
      </c>
      <c r="P38" s="646">
        <f>'Book Income Statement'!Q38+'Book Income Statement'!Q37+'Book Income Statement'!Q41+'Book Income Statement'!Q39</f>
        <v>1548.4089898129164</v>
      </c>
      <c r="Q38" s="646">
        <f>'Book Income Statement'!R38+'Book Income Statement'!R37+'Book Income Statement'!R41+'Book Income Statement'!R39</f>
        <v>1594.8612595073037</v>
      </c>
      <c r="R38" s="646">
        <f>'Book Income Statement'!S38+'Book Income Statement'!S37+'Book Income Statement'!S41+'Book Income Statement'!S39</f>
        <v>1642.707097292523</v>
      </c>
      <c r="S38" s="646">
        <f>'Book Income Statement'!T38+'Book Income Statement'!T37+'Book Income Statement'!T41+'Book Income Statement'!T39</f>
        <v>1691.9883102112988</v>
      </c>
      <c r="T38" s="646">
        <f>'Book Income Statement'!U38+'Book Income Statement'!U37+'Book Income Statement'!U41+'Book Income Statement'!U39</f>
        <v>1742.7479595176374</v>
      </c>
      <c r="U38" s="646">
        <f>'Book Income Statement'!V38+'Book Income Statement'!V37+'Book Income Statement'!V41+'Book Income Statement'!V39</f>
        <v>1795.0303983031667</v>
      </c>
      <c r="V38" s="646">
        <f>'Book Income Statement'!W38+'Book Income Statement'!W37+'Book Income Statement'!W41+'Book Income Statement'!W39</f>
        <v>1848.8813102522615</v>
      </c>
      <c r="W38" s="646">
        <f>'Book Income Statement'!X38+'Book Income Statement'!X37+'Book Income Statement'!X41+'Book Income Statement'!X39</f>
        <v>1904.3477495598295</v>
      </c>
      <c r="X38" s="804">
        <f>'Book Income Statement'!Y38+'Book Income Statement'!Y37+'Book Income Statement'!Y41+'Book Income Statement'!Y39</f>
        <v>0</v>
      </c>
      <c r="Y38" s="185"/>
      <c r="Z38" s="185"/>
      <c r="AA38" s="185"/>
    </row>
    <row r="39" spans="1:30">
      <c r="A39" s="779" t="s">
        <v>417</v>
      </c>
      <c r="B39" s="467">
        <f>AVERAGE(C39:V39)</f>
        <v>977.97153393278586</v>
      </c>
      <c r="C39" s="805">
        <f>'Book Income Statement'!D51</f>
        <v>335.35382166666665</v>
      </c>
      <c r="D39" s="805">
        <f>'Book Income Statement'!E51</f>
        <v>765.38509989999989</v>
      </c>
      <c r="E39" s="805">
        <f>'Book Income Statement'!F51</f>
        <v>788.3466528969999</v>
      </c>
      <c r="F39" s="805">
        <f>'Book Income Statement'!G51</f>
        <v>811.99705248391001</v>
      </c>
      <c r="G39" s="805">
        <f>'Book Income Statement'!H51</f>
        <v>836.35696405842725</v>
      </c>
      <c r="H39" s="805">
        <f>'Book Income Statement'!I51</f>
        <v>861.44767298017996</v>
      </c>
      <c r="I39" s="805">
        <f>'Book Income Statement'!J51</f>
        <v>887.29110316958531</v>
      </c>
      <c r="J39" s="805">
        <f>'Book Income Statement'!K51</f>
        <v>913.909836264673</v>
      </c>
      <c r="K39" s="805">
        <f>'Book Income Statement'!L51</f>
        <v>941.32713135261315</v>
      </c>
      <c r="L39" s="805">
        <f>'Book Income Statement'!M51</f>
        <v>969.56694529319157</v>
      </c>
      <c r="M39" s="805">
        <f>'Book Income Statement'!N51</f>
        <v>998.65395365198719</v>
      </c>
      <c r="N39" s="805">
        <f>'Book Income Statement'!O51</f>
        <v>1028.613572261547</v>
      </c>
      <c r="O39" s="805">
        <f>'Book Income Statement'!P51</f>
        <v>1059.4719794293933</v>
      </c>
      <c r="P39" s="805">
        <f>'Book Income Statement'!Q51</f>
        <v>1091.2561388122751</v>
      </c>
      <c r="Q39" s="805">
        <f>'Book Income Statement'!R51</f>
        <v>1123.9938229766433</v>
      </c>
      <c r="R39" s="805">
        <f>'Book Income Statement'!S51</f>
        <v>1157.7136376659428</v>
      </c>
      <c r="S39" s="805">
        <f>'Book Income Statement'!T51</f>
        <v>1192.4450467959209</v>
      </c>
      <c r="T39" s="805">
        <f>'Book Income Statement'!U51</f>
        <v>1228.2183981997985</v>
      </c>
      <c r="U39" s="805">
        <f>'Book Income Statement'!V51</f>
        <v>1265.0649501457924</v>
      </c>
      <c r="V39" s="805">
        <f>'Book Income Statement'!W51</f>
        <v>1303.0168986501662</v>
      </c>
      <c r="W39" s="805">
        <f>'Book Income Statement'!X51</f>
        <v>1342.1074056096711</v>
      </c>
      <c r="X39" s="806">
        <f>'Book Income Statement'!Y51</f>
        <v>0</v>
      </c>
      <c r="Y39" s="185"/>
      <c r="Z39" s="185"/>
      <c r="AA39" s="185"/>
    </row>
    <row r="40" spans="1:30">
      <c r="A40" s="678"/>
      <c r="B40" s="241"/>
      <c r="C40" s="241"/>
      <c r="D40" s="241"/>
      <c r="E40" s="241"/>
      <c r="F40" s="241"/>
      <c r="G40" s="241"/>
      <c r="H40" s="241"/>
      <c r="I40" s="241"/>
      <c r="J40" s="241"/>
      <c r="K40" s="241"/>
      <c r="L40" s="241"/>
      <c r="M40" s="241"/>
      <c r="N40" s="241"/>
      <c r="O40" s="241"/>
      <c r="P40" s="241"/>
      <c r="Q40" s="241"/>
      <c r="R40" s="241"/>
      <c r="S40" s="241"/>
      <c r="T40" s="241"/>
      <c r="U40" s="241"/>
      <c r="V40" s="241"/>
      <c r="W40" s="241"/>
      <c r="X40" s="807"/>
    </row>
    <row r="41" spans="1:30">
      <c r="A41" s="795" t="s">
        <v>452</v>
      </c>
      <c r="B41" s="440" t="s">
        <v>414</v>
      </c>
      <c r="C41" s="799"/>
      <c r="D41" s="799"/>
      <c r="E41" s="799"/>
      <c r="F41" s="799"/>
      <c r="G41" s="799"/>
      <c r="H41" s="799"/>
      <c r="I41" s="799"/>
      <c r="J41" s="799"/>
      <c r="K41" s="799"/>
      <c r="L41" s="799"/>
      <c r="M41" s="799"/>
      <c r="N41" s="799"/>
      <c r="O41" s="799"/>
      <c r="P41" s="799"/>
      <c r="Q41" s="799"/>
      <c r="R41" s="799"/>
      <c r="S41" s="799"/>
      <c r="T41" s="799"/>
      <c r="U41" s="799"/>
      <c r="V41" s="799"/>
      <c r="W41" s="799"/>
      <c r="X41" s="800"/>
      <c r="Y41" s="185"/>
      <c r="Z41" s="185"/>
      <c r="AA41" s="185"/>
    </row>
    <row r="42" spans="1:30" s="98" customFormat="1" ht="12.6" customHeight="1">
      <c r="A42" s="779" t="s">
        <v>586</v>
      </c>
      <c r="B42" s="468">
        <f>AVERAGE(C42:V42)</f>
        <v>0.13786191971743048</v>
      </c>
      <c r="C42" s="808">
        <f>IF(Operations!C3&gt;ProjectLife,0,C29/'Project Assumptions'!$I$10/SUM('Book Income Statement'!D6:D7))</f>
        <v>0.21362895927601816</v>
      </c>
      <c r="D42" s="808">
        <f>IF(Operations!D3&gt;ProjectLife,0,D29/'Project Assumptions'!$I$10/SUM('Book Income Statement'!E6:E7))</f>
        <v>9.3497408555312148E-2</v>
      </c>
      <c r="E42" s="808">
        <f>IF(Operations!E3&gt;ProjectLife,0,E29/'Project Assumptions'!$I$10/SUM('Book Income Statement'!F6:F7))</f>
        <v>9.7637637672925062E-2</v>
      </c>
      <c r="F42" s="808">
        <f>IF(Operations!F3&gt;ProjectLife,0,F29/'Project Assumptions'!$I$10/SUM('Book Income Statement'!G6:G7))</f>
        <v>0.10056676680311283</v>
      </c>
      <c r="G42" s="808">
        <f>IF(Operations!G3&gt;ProjectLife,0,G29/'Project Assumptions'!$I$10/SUM('Book Income Statement'!H6:H7))</f>
        <v>0.10895722760530474</v>
      </c>
      <c r="H42" s="808">
        <f>IF(Operations!H3&gt;ProjectLife,0,H29/'Project Assumptions'!$I$10/SUM('Book Income Statement'!I6:I7))</f>
        <v>0.11521911480913168</v>
      </c>
      <c r="I42" s="808">
        <f>IF(Operations!I3&gt;ProjectLife,0,I29/'Project Assumptions'!$I$10/SUM('Book Income Statement'!J6:J7))</f>
        <v>0.11867568825340565</v>
      </c>
      <c r="J42" s="808">
        <f>IF(Operations!J3&gt;ProjectLife,0,J29/'Project Assumptions'!$I$10/SUM('Book Income Statement'!K6:K7))</f>
        <v>0.12223595890100782</v>
      </c>
      <c r="K42" s="808">
        <f>IF(Operations!K3&gt;ProjectLife,0,K29/'Project Assumptions'!$I$10/SUM('Book Income Statement'!L6:L7))</f>
        <v>0.12590303766803804</v>
      </c>
      <c r="L42" s="808">
        <f>IF(Operations!L3&gt;ProjectLife,0,L29/'Project Assumptions'!$I$10/SUM('Book Income Statement'!M6:M7))</f>
        <v>0.12968012879807919</v>
      </c>
      <c r="M42" s="808">
        <f>IF(Operations!M3&gt;ProjectLife,0,M29/'Project Assumptions'!$I$10/SUM('Book Income Statement'!N6:N7))</f>
        <v>0.1335705326620216</v>
      </c>
      <c r="N42" s="808">
        <f>IF(Operations!N3&gt;ProjectLife,0,N29/'Project Assumptions'!$I$10/SUM('Book Income Statement'!O6:O7))</f>
        <v>0.13757764864188221</v>
      </c>
      <c r="O42" s="808">
        <f>IF(Operations!O3&gt;ProjectLife,0,O29/'Project Assumptions'!$I$10/SUM('Book Income Statement'!P6:P7))</f>
        <v>0.14170497810113866</v>
      </c>
      <c r="P42" s="808">
        <f>IF(Operations!P3&gt;ProjectLife,0,P29/'Project Assumptions'!$I$10/SUM('Book Income Statement'!Q6:Q7))</f>
        <v>0.14595612744417283</v>
      </c>
      <c r="Q42" s="808">
        <f>IF(Operations!Q3&gt;ProjectLife,0,Q29/'Project Assumptions'!$I$10/SUM('Book Income Statement'!R6:R7))</f>
        <v>0.15033481126749801</v>
      </c>
      <c r="R42" s="808">
        <f>IF(Operations!R3&gt;ProjectLife,0,R29/'Project Assumptions'!$I$10/SUM('Book Income Statement'!S6:S7))</f>
        <v>0.15484485560552294</v>
      </c>
      <c r="S42" s="808">
        <f>IF(Operations!S3&gt;ProjectLife,0,S29/'Project Assumptions'!$I$10/SUM('Book Income Statement'!T6:T7))</f>
        <v>0.15949020127368863</v>
      </c>
      <c r="T42" s="808">
        <f>IF(Operations!T3&gt;ProjectLife,0,T29/'Project Assumptions'!$I$10/SUM('Book Income Statement'!U6:U7))</f>
        <v>0.16427490731189928</v>
      </c>
      <c r="U42" s="808">
        <f>IF(Operations!U3&gt;ProjectLife,0,U29/'Project Assumptions'!$I$10/SUM('Book Income Statement'!V6:V7))</f>
        <v>0.16920315453125626</v>
      </c>
      <c r="V42" s="808">
        <f>IF(Operations!V3&gt;ProjectLife,0,V29/'Project Assumptions'!$I$10/SUM('Book Income Statement'!W6:W7))</f>
        <v>0.17427924916719395</v>
      </c>
      <c r="W42" s="808">
        <f>IF(Operations!W3&gt;ProjectLife+1,0,W29/'Project Assumptions'!$I$10/SUM('Book Income Statement'!X6:X7))</f>
        <v>0.17950762664220976</v>
      </c>
      <c r="X42" s="809">
        <v>0</v>
      </c>
      <c r="Y42" s="469"/>
      <c r="Z42" s="469"/>
      <c r="AA42" s="469"/>
      <c r="AB42" s="170"/>
      <c r="AC42" s="170"/>
      <c r="AD42" s="170"/>
    </row>
    <row r="43" spans="1:30" s="98" customFormat="1" ht="11.25">
      <c r="A43" s="779" t="s">
        <v>585</v>
      </c>
      <c r="B43" s="472">
        <f>AVERAGE(C43:V43)</f>
        <v>0.35958381307024467</v>
      </c>
      <c r="C43" s="808">
        <f>IF(Operations!C3&gt;ProjectLife,0,C30/'Project Assumptions'!$I$10/SUM('Book Income Statement'!D6:D7))</f>
        <v>0.61053393665158373</v>
      </c>
      <c r="D43" s="808">
        <f>IF(Operations!D3&gt;ProjectLife,0,D30/'Project Assumptions'!$I$10/SUM('Book Income Statement'!E6:E7))</f>
        <v>0.26202081447963804</v>
      </c>
      <c r="E43" s="808">
        <f>IF(Operations!E3&gt;ProjectLife,0,E30/'Project Assumptions'!$I$10/SUM('Book Income Statement'!F6:F7))</f>
        <v>0.26988143891402716</v>
      </c>
      <c r="F43" s="808">
        <f>IF(Operations!F3&gt;ProjectLife,0,F30/'Project Assumptions'!$I$10/SUM('Book Income Statement'!G6:G7))</f>
        <v>0.27797788208144797</v>
      </c>
      <c r="G43" s="808">
        <f>IF(Operations!G3&gt;ProjectLife,0,G30/'Project Assumptions'!$I$10/SUM('Book Income Statement'!H6:H7))</f>
        <v>0.28631721854389136</v>
      </c>
      <c r="H43" s="808">
        <f>IF(Operations!H3&gt;ProjectLife,0,H30/'Project Assumptions'!$I$10/SUM('Book Income Statement'!I6:I7))</f>
        <v>0.2949067351002081</v>
      </c>
      <c r="I43" s="808">
        <f>IF(Operations!I3&gt;ProjectLife,0,I30/'Project Assumptions'!$I$10/SUM('Book Income Statement'!J6:J7))</f>
        <v>0.30375393715321436</v>
      </c>
      <c r="J43" s="808">
        <f>IF(Operations!J3&gt;ProjectLife,0,J30/'Project Assumptions'!$I$10/SUM('Book Income Statement'!K6:K7))</f>
        <v>0.31286655526781088</v>
      </c>
      <c r="K43" s="808">
        <f>IF(Operations!K3&gt;ProjectLife,0,K30/'Project Assumptions'!$I$10/SUM('Book Income Statement'!L6:L7))</f>
        <v>0.32225255192584512</v>
      </c>
      <c r="L43" s="808">
        <f>IF(Operations!L3&gt;ProjectLife,0,L30/'Project Assumptions'!$I$10/SUM('Book Income Statement'!M6:M7))</f>
        <v>0.33192012848362046</v>
      </c>
      <c r="M43" s="808">
        <f>IF(Operations!M3&gt;ProjectLife,0,M30/'Project Assumptions'!$I$10/SUM('Book Income Statement'!N6:N7))</f>
        <v>0.34187773233812901</v>
      </c>
      <c r="N43" s="808">
        <f>IF(Operations!N3&gt;ProjectLife,0,N30/'Project Assumptions'!$I$10/SUM('Book Income Statement'!O6:O7))</f>
        <v>0.35213406430827304</v>
      </c>
      <c r="O43" s="808">
        <f>IF(Operations!O3&gt;ProjectLife,0,O30/'Project Assumptions'!$I$10/SUM('Book Income Statement'!P6:P7))</f>
        <v>0.36269808623752109</v>
      </c>
      <c r="P43" s="808">
        <f>IF(Operations!P3&gt;ProjectLife,0,P30/'Project Assumptions'!$I$10/SUM('Book Income Statement'!Q6:Q7))</f>
        <v>0.37357902882464672</v>
      </c>
      <c r="Q43" s="808">
        <f>IF(Operations!Q3&gt;ProjectLife,0,Q30/'Project Assumptions'!$I$10/SUM('Book Income Statement'!R6:R7))</f>
        <v>0.38478639968938616</v>
      </c>
      <c r="R43" s="808">
        <f>IF(Operations!R3&gt;ProjectLife,0,R30/'Project Assumptions'!$I$10/SUM('Book Income Statement'!S6:S7))</f>
        <v>0.39632999168006777</v>
      </c>
      <c r="S43" s="808">
        <f>IF(Operations!S3&gt;ProjectLife,0,S30/'Project Assumptions'!$I$10/SUM('Book Income Statement'!T6:T7))</f>
        <v>0.40821989143046972</v>
      </c>
      <c r="T43" s="808">
        <f>IF(Operations!T3&gt;ProjectLife,0,T30/'Project Assumptions'!$I$10/SUM('Book Income Statement'!U6:U7))</f>
        <v>0.42046648817338378</v>
      </c>
      <c r="U43" s="808">
        <f>IF(Operations!U3&gt;ProjectLife,0,U30/'Project Assumptions'!$I$10/SUM('Book Income Statement'!V6:V7))</f>
        <v>0.4330804828185853</v>
      </c>
      <c r="V43" s="808">
        <f>IF(Operations!V3&gt;ProjectLife,0,V30/'Project Assumptions'!$I$10/SUM('Book Income Statement'!W6:W7))</f>
        <v>0.44607289730314292</v>
      </c>
      <c r="W43" s="808">
        <f>IF(Operations!W3&gt;ProjectLife+1,0,W30/'Project Assumptions'!$I$10/SUM('Book Income Statement'!X6:X7))</f>
        <v>0.45945508422223719</v>
      </c>
      <c r="X43" s="809">
        <v>0</v>
      </c>
      <c r="Y43" s="469"/>
      <c r="Z43" s="469"/>
      <c r="AA43" s="469"/>
      <c r="AB43" s="170"/>
      <c r="AC43" s="170"/>
      <c r="AD43" s="170"/>
    </row>
    <row r="44" spans="1:30" s="98" customFormat="1" ht="13.5">
      <c r="A44" s="779" t="s">
        <v>587</v>
      </c>
      <c r="B44" s="470">
        <f>AVERAGE(C44:V44)</f>
        <v>0.53303530037656222</v>
      </c>
      <c r="C44" s="810">
        <f>IF(Operations!C3&gt;ProjectLife,0,C31/('Project Assumptions'!$I$10*SUM('Book Income Statement'!D6:D7)))</f>
        <v>0.35053551064679267</v>
      </c>
      <c r="D44" s="810">
        <f>IF(Operations!D3&gt;ProjectLife,0,D31/('Project Assumptions'!$I$10*SUM('Book Income Statement'!E6:E7)))</f>
        <v>0.34905882572863983</v>
      </c>
      <c r="E44" s="810">
        <f>IF(Operations!E3&gt;ProjectLife,0,E31/('Project Assumptions'!$I$10*SUM('Book Income Statement'!F6:F7)))</f>
        <v>0.35953059050049907</v>
      </c>
      <c r="F44" s="810">
        <f>IF(Operations!F3&gt;ProjectLife,0,F31/('Project Assumptions'!$I$10*SUM('Book Income Statement'!G6:G7)))</f>
        <v>0.37031650821551404</v>
      </c>
      <c r="G44" s="810">
        <f>IF(Operations!G3&gt;ProjectLife,0,G31/('Project Assumptions'!$I$10*SUM('Book Income Statement'!H6:H7)))</f>
        <v>0.42701965353739424</v>
      </c>
      <c r="H44" s="810">
        <f>IF(Operations!H3&gt;ProjectLife,0,H31/('Project Assumptions'!$I$10*SUM('Book Income Statement'!I6:I7)))</f>
        <v>0.47337414284185686</v>
      </c>
      <c r="I44" s="810">
        <f>IF(Operations!I3&gt;ProjectLife,0,I31/('Project Assumptions'!$I$10*SUM('Book Income Statement'!J6:J7)))</f>
        <v>0.48757536712711258</v>
      </c>
      <c r="J44" s="810">
        <f>IF(Operations!J3&gt;ProjectLife,0,J31/('Project Assumptions'!$I$10*SUM('Book Income Statement'!K6:K7)))</f>
        <v>0.50220262814092609</v>
      </c>
      <c r="K44" s="810">
        <f>IF(Operations!K3&gt;ProjectLife,0,K31/('Project Assumptions'!$I$10*SUM('Book Income Statement'!L6:L7)))</f>
        <v>0.5172687069851537</v>
      </c>
      <c r="L44" s="810">
        <f>IF(Operations!L3&gt;ProjectLife,0,L31/('Project Assumptions'!$I$10*SUM('Book Income Statement'!M6:M7)))</f>
        <v>0.53278676819470838</v>
      </c>
      <c r="M44" s="810">
        <f>IF(Operations!M3&gt;ProjectLife,0,M31/('Project Assumptions'!$I$10*SUM('Book Income Statement'!N6:N7)))</f>
        <v>0.54877037124054961</v>
      </c>
      <c r="N44" s="810">
        <f>IF(Operations!N3&gt;ProjectLife,0,N31/('Project Assumptions'!$I$10*SUM('Book Income Statement'!O6:O7)))</f>
        <v>0.56523348237776605</v>
      </c>
      <c r="O44" s="810">
        <f>IF(Operations!O3&gt;ProjectLife,0,O31/('Project Assumptions'!$I$10*SUM('Book Income Statement'!P6:P7)))</f>
        <v>0.58219048684909902</v>
      </c>
      <c r="P44" s="810">
        <f>IF(Operations!P3&gt;ProjectLife,0,P31/('Project Assumptions'!$I$10*SUM('Book Income Statement'!Q6:Q7)))</f>
        <v>0.59965620145457199</v>
      </c>
      <c r="Q44" s="810">
        <f>IF(Operations!Q3&gt;ProjectLife,0,Q31/('Project Assumptions'!$I$10*SUM('Book Income Statement'!R6:R7)))</f>
        <v>0.61764588749820915</v>
      </c>
      <c r="R44" s="810">
        <f>IF(Operations!R3&gt;ProjectLife,0,R31/('Project Assumptions'!$I$10*SUM('Book Income Statement'!S6:S7)))</f>
        <v>0.6361752641231555</v>
      </c>
      <c r="S44" s="810">
        <f>IF(Operations!S3&gt;ProjectLife,0,S31/('Project Assumptions'!$I$10*SUM('Book Income Statement'!T6:T7)))</f>
        <v>0.65526052204685015</v>
      </c>
      <c r="T44" s="810">
        <f>IF(Operations!T3&gt;ProjectLife,0,T31/('Project Assumptions'!$I$10*SUM('Book Income Statement'!U6:U7)))</f>
        <v>0.6749183377082556</v>
      </c>
      <c r="U44" s="810">
        <f>IF(Operations!U3&gt;ProjectLife,0,U31/('Project Assumptions'!$I$10*SUM('Book Income Statement'!V6:V7)))</f>
        <v>0.69516588783950328</v>
      </c>
      <c r="V44" s="810">
        <f>IF(Operations!V3&gt;ProjectLife,0,V31/('Project Assumptions'!$I$10*SUM('Book Income Statement'!W6:W7)))</f>
        <v>0.71602086447468849</v>
      </c>
      <c r="W44" s="810">
        <f>IF(Operations!W3&gt;ProjectLife+1,0,W31/('Project Assumptions'!$I$10*SUM('Book Income Statement'!X6:X7)))</f>
        <v>0.73750149040892898</v>
      </c>
      <c r="X44" s="811">
        <v>0</v>
      </c>
      <c r="Y44" s="471"/>
      <c r="Z44" s="471"/>
      <c r="AA44" s="471"/>
      <c r="AB44" s="170"/>
      <c r="AC44" s="170"/>
      <c r="AD44" s="170"/>
    </row>
    <row r="45" spans="1:30" s="98" customFormat="1" ht="12.6" customHeight="1">
      <c r="A45" s="779" t="s">
        <v>591</v>
      </c>
      <c r="B45" s="472">
        <f>AVERAGE(C45:V45)</f>
        <v>1.0304810331642371</v>
      </c>
      <c r="C45" s="808">
        <f t="shared" ref="C45:V45" si="12">SUM(C42:C44)</f>
        <v>1.1746984065743946</v>
      </c>
      <c r="D45" s="808">
        <f t="shared" si="12"/>
        <v>0.70457704876359006</v>
      </c>
      <c r="E45" s="808">
        <f t="shared" si="12"/>
        <v>0.72704966708745133</v>
      </c>
      <c r="F45" s="808">
        <f t="shared" si="12"/>
        <v>0.74886115710007484</v>
      </c>
      <c r="G45" s="808">
        <f t="shared" si="12"/>
        <v>0.8222940996865904</v>
      </c>
      <c r="H45" s="808">
        <f t="shared" si="12"/>
        <v>0.88349999275119662</v>
      </c>
      <c r="I45" s="808">
        <f t="shared" si="12"/>
        <v>0.91000499253373257</v>
      </c>
      <c r="J45" s="808">
        <f t="shared" si="12"/>
        <v>0.93730514230974471</v>
      </c>
      <c r="K45" s="808">
        <f t="shared" si="12"/>
        <v>0.96542429657903683</v>
      </c>
      <c r="L45" s="808">
        <f t="shared" si="12"/>
        <v>0.994387025476408</v>
      </c>
      <c r="M45" s="808">
        <f t="shared" si="12"/>
        <v>1.0242186362407002</v>
      </c>
      <c r="N45" s="808">
        <f t="shared" si="12"/>
        <v>1.0549451953279214</v>
      </c>
      <c r="O45" s="808">
        <f t="shared" si="12"/>
        <v>1.0865935511877587</v>
      </c>
      <c r="P45" s="808">
        <f t="shared" si="12"/>
        <v>1.1191913577233916</v>
      </c>
      <c r="Q45" s="808">
        <f t="shared" si="12"/>
        <v>1.1527670984550933</v>
      </c>
      <c r="R45" s="808">
        <f t="shared" si="12"/>
        <v>1.1873501114087461</v>
      </c>
      <c r="S45" s="808">
        <f t="shared" si="12"/>
        <v>1.2229706147510084</v>
      </c>
      <c r="T45" s="808">
        <f t="shared" si="12"/>
        <v>1.2596597331935386</v>
      </c>
      <c r="U45" s="808">
        <f t="shared" si="12"/>
        <v>1.2974495251893448</v>
      </c>
      <c r="V45" s="808">
        <f t="shared" si="12"/>
        <v>1.3363730109450254</v>
      </c>
      <c r="W45" s="808">
        <f>SUM(W42:W44)</f>
        <v>1.3764642012733759</v>
      </c>
      <c r="X45" s="809">
        <f>SUM(X42:X44)</f>
        <v>0</v>
      </c>
      <c r="Y45" s="469"/>
      <c r="Z45" s="469"/>
      <c r="AA45" s="469"/>
      <c r="AB45" s="170"/>
      <c r="AC45" s="170"/>
      <c r="AD45" s="170"/>
    </row>
    <row r="46" spans="1:30" s="98" customFormat="1" ht="12.6" customHeight="1">
      <c r="A46" s="779"/>
      <c r="B46" s="473"/>
      <c r="C46" s="812"/>
      <c r="D46" s="812"/>
      <c r="E46" s="812"/>
      <c r="F46" s="812"/>
      <c r="G46" s="812"/>
      <c r="H46" s="812"/>
      <c r="I46" s="812"/>
      <c r="J46" s="812"/>
      <c r="K46" s="812"/>
      <c r="L46" s="812"/>
      <c r="M46" s="812"/>
      <c r="N46" s="812"/>
      <c r="O46" s="812"/>
      <c r="P46" s="812"/>
      <c r="Q46" s="812"/>
      <c r="R46" s="812"/>
      <c r="S46" s="812"/>
      <c r="T46" s="812"/>
      <c r="U46" s="812"/>
      <c r="V46" s="812"/>
      <c r="W46" s="812"/>
      <c r="X46" s="813"/>
      <c r="Y46" s="435"/>
      <c r="Z46" s="435"/>
      <c r="AA46" s="435"/>
      <c r="AB46" s="170"/>
      <c r="AC46" s="170"/>
      <c r="AD46" s="170"/>
    </row>
    <row r="47" spans="1:30" s="98" customFormat="1" ht="11.25">
      <c r="A47" s="779" t="s">
        <v>592</v>
      </c>
      <c r="B47" s="472">
        <f>AVERAGE(C47:V47)</f>
        <v>1.0304810331642371</v>
      </c>
      <c r="C47" s="808">
        <f t="shared" ref="C47:V47" si="13">C45</f>
        <v>1.1746984065743946</v>
      </c>
      <c r="D47" s="808">
        <f t="shared" si="13"/>
        <v>0.70457704876359006</v>
      </c>
      <c r="E47" s="808">
        <f t="shared" si="13"/>
        <v>0.72704966708745133</v>
      </c>
      <c r="F47" s="808">
        <f t="shared" si="13"/>
        <v>0.74886115710007484</v>
      </c>
      <c r="G47" s="808">
        <f t="shared" si="13"/>
        <v>0.8222940996865904</v>
      </c>
      <c r="H47" s="808">
        <f t="shared" si="13"/>
        <v>0.88349999275119662</v>
      </c>
      <c r="I47" s="808">
        <f t="shared" si="13"/>
        <v>0.91000499253373257</v>
      </c>
      <c r="J47" s="808">
        <f t="shared" si="13"/>
        <v>0.93730514230974471</v>
      </c>
      <c r="K47" s="808">
        <f t="shared" si="13"/>
        <v>0.96542429657903683</v>
      </c>
      <c r="L47" s="808">
        <f t="shared" si="13"/>
        <v>0.994387025476408</v>
      </c>
      <c r="M47" s="808">
        <f t="shared" si="13"/>
        <v>1.0242186362407002</v>
      </c>
      <c r="N47" s="808">
        <f t="shared" si="13"/>
        <v>1.0549451953279214</v>
      </c>
      <c r="O47" s="808">
        <f t="shared" si="13"/>
        <v>1.0865935511877587</v>
      </c>
      <c r="P47" s="808">
        <f t="shared" si="13"/>
        <v>1.1191913577233916</v>
      </c>
      <c r="Q47" s="808">
        <f t="shared" si="13"/>
        <v>1.1527670984550933</v>
      </c>
      <c r="R47" s="808">
        <f t="shared" si="13"/>
        <v>1.1873501114087461</v>
      </c>
      <c r="S47" s="808">
        <f t="shared" si="13"/>
        <v>1.2229706147510084</v>
      </c>
      <c r="T47" s="808">
        <f t="shared" si="13"/>
        <v>1.2596597331935386</v>
      </c>
      <c r="U47" s="808">
        <f t="shared" si="13"/>
        <v>1.2974495251893448</v>
      </c>
      <c r="V47" s="808">
        <f t="shared" si="13"/>
        <v>1.3363730109450254</v>
      </c>
      <c r="W47" s="808">
        <f>W45</f>
        <v>1.3764642012733759</v>
      </c>
      <c r="X47" s="809">
        <v>0</v>
      </c>
      <c r="Y47" s="469"/>
      <c r="Z47" s="469"/>
      <c r="AA47" s="469"/>
      <c r="AB47" s="170"/>
      <c r="AC47" s="170"/>
      <c r="AD47" s="170"/>
    </row>
    <row r="48" spans="1:30" s="98" customFormat="1" ht="11.25">
      <c r="A48" s="779" t="s">
        <v>588</v>
      </c>
      <c r="B48" s="472">
        <f>AVERAGE(C48:V48)</f>
        <v>0.11237495503736201</v>
      </c>
      <c r="C48" s="808">
        <f>IF(Operations!C3&gt;ProjectLife,0,C32/'Project Assumptions'!$I$10/SUM('Book Income Statement'!D6:D7))</f>
        <v>0</v>
      </c>
      <c r="D48" s="808">
        <f>IF(Operations!D3&gt;ProjectLife,0,D32/'Project Assumptions'!$I$10/SUM('Book Income Statement'!E6:E7))</f>
        <v>0.10353765052302318</v>
      </c>
      <c r="E48" s="808">
        <f>IF(Operations!E3&gt;ProjectLife,0,E32/'Project Assumptions'!$I$10/SUM('Book Income Statement'!F6:F7))</f>
        <v>0.10144598081548735</v>
      </c>
      <c r="F48" s="808">
        <f>IF(Operations!F3&gt;ProjectLife,0,F32/'Project Assumptions'!$I$10/SUM('Book Income Statement'!G6:G7))</f>
        <v>9.9354311107951523E-2</v>
      </c>
      <c r="G48" s="808">
        <f>IF(Operations!G3&gt;ProjectLife,0,G32/'Project Assumptions'!$I$10/SUM('Book Income Statement'!H6:H7))</f>
        <v>9.7262641400415725E-2</v>
      </c>
      <c r="H48" s="808">
        <f>IF(Operations!H3&gt;ProjectLife,0,H32/'Project Assumptions'!$I$10/SUM('Book Income Statement'!I6:I7))</f>
        <v>9.5170971692879913E-2</v>
      </c>
      <c r="I48" s="808">
        <f>IF(Operations!I3&gt;ProjectLife,0,I32/'Project Assumptions'!$I$10/SUM('Book Income Statement'!J6:J7))</f>
        <v>9.3079301985344073E-2</v>
      </c>
      <c r="J48" s="808">
        <f>IF(Operations!J3&gt;ProjectLife,0,J32/'Project Assumptions'!$I$10/SUM('Book Income Statement'!K6:K7))</f>
        <v>8.9941797424040335E-2</v>
      </c>
      <c r="K48" s="808">
        <f>IF(Operations!K3&gt;ProjectLife,0,K32/'Project Assumptions'!$I$10/SUM('Book Income Statement'!L6:L7))</f>
        <v>8.6804292862736596E-2</v>
      </c>
      <c r="L48" s="808">
        <f>IF(Operations!L3&gt;ProjectLife,0,L32/'Project Assumptions'!$I$10/SUM('Book Income Statement'!M6:M7))</f>
        <v>8.3666788301432884E-2</v>
      </c>
      <c r="M48" s="808">
        <f>IF(Operations!M3&gt;ProjectLife,0,M32/'Project Assumptions'!$I$10/SUM('Book Income Statement'!N6:N7))</f>
        <v>7.9483448886361233E-2</v>
      </c>
      <c r="N48" s="808">
        <f>IF(Operations!N3&gt;ProjectLife,0,N32/'Project Assumptions'!$I$10/SUM('Book Income Statement'!O6:O7))</f>
        <v>0.22590032841386873</v>
      </c>
      <c r="O48" s="808">
        <f>IF(Operations!O3&gt;ProjectLife,0,O32/'Project Assumptions'!$I$10/SUM('Book Income Statement'!P6:P7))</f>
        <v>0.21021280560735012</v>
      </c>
      <c r="P48" s="808">
        <f>IF(Operations!P3&gt;ProjectLife,0,P32/'Project Assumptions'!$I$10/SUM('Book Income Statement'!Q6:Q7))</f>
        <v>0.19138777823952771</v>
      </c>
      <c r="Q48" s="808">
        <f>IF(Operations!Q3&gt;ProjectLife,0,Q32/'Project Assumptions'!$I$10/SUM('Book Income Statement'!R6:R7))</f>
        <v>0.17256275087170533</v>
      </c>
      <c r="R48" s="808">
        <f>IF(Operations!R3&gt;ProjectLife,0,R32/'Project Assumptions'!$I$10/SUM('Book Income Statement'!S6:S7))</f>
        <v>0.1537377235038829</v>
      </c>
      <c r="S48" s="808">
        <f>IF(Operations!S3&gt;ProjectLife,0,S32/'Project Assumptions'!$I$10/SUM('Book Income Statement'!T6:T7))</f>
        <v>0.12863768701345304</v>
      </c>
      <c r="T48" s="808">
        <f>IF(Operations!T3&gt;ProjectLife,0,T32/'Project Assumptions'!$I$10/SUM('Book Income Statement'!U6:U7))</f>
        <v>0.10040014596171946</v>
      </c>
      <c r="U48" s="808">
        <f>IF(Operations!U3&gt;ProjectLife,0,U32/'Project Assumptions'!$I$10/SUM('Book Income Statement'!V6:V7))</f>
        <v>7.2162604909985856E-2</v>
      </c>
      <c r="V48" s="808">
        <f>IF(Operations!V3&gt;ProjectLife,0,V32/'Project Assumptions'!$I$10/SUM('Book Income Statement'!W6:W7))</f>
        <v>6.2750091226074667E-2</v>
      </c>
      <c r="W48" s="808">
        <f>IF(Operations!W3&gt;ProjectLife+1,0,W32/'Project Assumptions'!$I$10/SUM('Book Income Statement'!X6:X7))</f>
        <v>6.2750091226074667E-2</v>
      </c>
      <c r="X48" s="809">
        <v>0</v>
      </c>
      <c r="Y48" s="469"/>
      <c r="Z48" s="469"/>
      <c r="AA48" s="469"/>
      <c r="AB48" s="170"/>
      <c r="AC48" s="170"/>
      <c r="AD48" s="170"/>
    </row>
    <row r="49" spans="1:30" s="98" customFormat="1" ht="11.25">
      <c r="A49" s="779" t="s">
        <v>589</v>
      </c>
      <c r="B49" s="472">
        <f>AVERAGE(C49:V49)</f>
        <v>0</v>
      </c>
      <c r="C49" s="808">
        <f>IF(Operations!C3&gt;ProjectLife,0,C33/'Project Assumptions'!$I$10/SUM('Book Income Statement'!D6:D7))</f>
        <v>0</v>
      </c>
      <c r="D49" s="808">
        <f>IF(Operations!D3&gt;ProjectLife,0,D33/'Project Assumptions'!$I$10/SUM('Book Income Statement'!E6:E7))</f>
        <v>0</v>
      </c>
      <c r="E49" s="808">
        <f>IF(Operations!E3&gt;ProjectLife,0,E33/'Project Assumptions'!$I$10/SUM('Book Income Statement'!F6:F7))</f>
        <v>0</v>
      </c>
      <c r="F49" s="808">
        <f>IF(Operations!F3&gt;ProjectLife,0,F33/'Project Assumptions'!$I$10/SUM('Book Income Statement'!G6:G7))</f>
        <v>0</v>
      </c>
      <c r="G49" s="808">
        <f>IF(Operations!G3&gt;ProjectLife,0,G33/'Project Assumptions'!$I$10/SUM('Book Income Statement'!H6:H7))</f>
        <v>0</v>
      </c>
      <c r="H49" s="808">
        <f>IF(Operations!H3&gt;ProjectLife,0,H33/'Project Assumptions'!$I$10/SUM('Book Income Statement'!I6:I7))</f>
        <v>0</v>
      </c>
      <c r="I49" s="808">
        <f>IF(Operations!I3&gt;ProjectLife,0,I33/'Project Assumptions'!$I$10/SUM('Book Income Statement'!J6:J7))</f>
        <v>0</v>
      </c>
      <c r="J49" s="808">
        <f>IF(Operations!J3&gt;ProjectLife,0,J33/'Project Assumptions'!$I$10/SUM('Book Income Statement'!K6:K7))</f>
        <v>0</v>
      </c>
      <c r="K49" s="808">
        <f>IF(Operations!K3&gt;ProjectLife,0,K33/'Project Assumptions'!$I$10/SUM('Book Income Statement'!L6:L7))</f>
        <v>0</v>
      </c>
      <c r="L49" s="808">
        <f>IF(Operations!L3&gt;ProjectLife,0,L33/'Project Assumptions'!$I$10/SUM('Book Income Statement'!M6:M7))</f>
        <v>0</v>
      </c>
      <c r="M49" s="808">
        <f>IF(Operations!M3&gt;ProjectLife,0,M33/'Project Assumptions'!$I$10/SUM('Book Income Statement'!N6:N7))</f>
        <v>0</v>
      </c>
      <c r="N49" s="808">
        <f>IF(Operations!N3&gt;ProjectLife,0,N33/'Project Assumptions'!$I$10/SUM('Book Income Statement'!O6:O7))</f>
        <v>0</v>
      </c>
      <c r="O49" s="808">
        <f>IF(Operations!O3&gt;ProjectLife,0,O33/'Project Assumptions'!$I$10/SUM('Book Income Statement'!P6:P7))</f>
        <v>0</v>
      </c>
      <c r="P49" s="808">
        <f>IF(Operations!P3&gt;ProjectLife,0,P33/'Project Assumptions'!$I$10/SUM('Book Income Statement'!Q6:Q7))</f>
        <v>0</v>
      </c>
      <c r="Q49" s="808">
        <f>IF(Operations!Q3&gt;ProjectLife,0,Q33/'Project Assumptions'!$I$10/SUM('Book Income Statement'!R6:R7))</f>
        <v>0</v>
      </c>
      <c r="R49" s="808">
        <f>IF(Operations!R3&gt;ProjectLife,0,R33/'Project Assumptions'!$I$10/SUM('Book Income Statement'!S6:S7))</f>
        <v>0</v>
      </c>
      <c r="S49" s="808">
        <f>IF(Operations!S3&gt;ProjectLife,0,S33/'Project Assumptions'!$I$10/SUM('Book Income Statement'!T6:T7))</f>
        <v>0</v>
      </c>
      <c r="T49" s="808">
        <f>IF(Operations!T3&gt;ProjectLife,0,T33/'Project Assumptions'!$I$10/SUM('Book Income Statement'!U6:U7))</f>
        <v>0</v>
      </c>
      <c r="U49" s="808">
        <f>IF(Operations!U3&gt;ProjectLife,0,U33/'Project Assumptions'!$I$10/SUM('Book Income Statement'!V6:V7))</f>
        <v>0</v>
      </c>
      <c r="V49" s="808">
        <f>IF(Operations!V3&gt;ProjectLife,0,V33/'Project Assumptions'!$I$10/SUM('Book Income Statement'!W6:W7))</f>
        <v>0</v>
      </c>
      <c r="W49" s="808">
        <f>IF(Operations!W3&gt;ProjectLife+1,0,W33/'Project Assumptions'!$I$10/SUM('Book Income Statement'!X6:X7))</f>
        <v>0</v>
      </c>
      <c r="X49" s="809">
        <v>0</v>
      </c>
      <c r="Y49" s="469"/>
      <c r="Z49" s="469"/>
      <c r="AA49" s="469"/>
      <c r="AB49" s="170"/>
      <c r="AC49" s="170"/>
      <c r="AD49" s="170"/>
    </row>
    <row r="50" spans="1:30" s="98" customFormat="1" ht="13.5">
      <c r="A50" s="779" t="s">
        <v>590</v>
      </c>
      <c r="B50" s="470">
        <f>AVERAGE(C50:V50)</f>
        <v>2.2653087998680239</v>
      </c>
      <c r="C50" s="810">
        <f>IF(Operations!C3&gt;ProjectLife,0,'Returns Summary'!C23/'Project Assumptions'!$I$10/SUM('Book Income Statement'!D6:D7))</f>
        <v>6.282564615384616</v>
      </c>
      <c r="D50" s="810">
        <f>IF(Operations!D3&gt;ProjectLife,0,'Returns Summary'!D23/'Project Assumptions'!$I$10/SUM('Book Income Statement'!E6:E7))</f>
        <v>2.5575154600301659</v>
      </c>
      <c r="E50" s="810">
        <f>IF(Operations!E3&gt;ProjectLife,0,'Returns Summary'!E23/'Project Assumptions'!$I$10/SUM('Book Income Statement'!F6:F7))</f>
        <v>2.8265565987933634</v>
      </c>
      <c r="F50" s="810">
        <f>IF(Operations!F3&gt;ProjectLife,0,'Returns Summary'!F23/'Project Assumptions'!$I$10/SUM('Book Income Statement'!G6:G7))</f>
        <v>3.070672684766214</v>
      </c>
      <c r="G50" s="810">
        <f>IF(Operations!G3&gt;ProjectLife,0,'Returns Summary'!G23/'Project Assumptions'!$I$10/SUM('Book Income Statement'!H6:H7))</f>
        <v>2.3062852865761689</v>
      </c>
      <c r="H50" s="810">
        <f>IF(Operations!H3&gt;ProjectLife,0,'Returns Summary'!H23/'Project Assumptions'!$I$10/SUM('Book Income Statement'!I6:I7))</f>
        <v>2.2367640082956259</v>
      </c>
      <c r="I50" s="810">
        <f>IF(Operations!I3&gt;ProjectLife,0,'Returns Summary'!I23/'Project Assumptions'!$I$10/SUM('Book Income Statement'!J6:J7))</f>
        <v>2.2874821719457015</v>
      </c>
      <c r="J50" s="810">
        <f>IF(Operations!J3&gt;ProjectLife,0,'Returns Summary'!J23/'Project Assumptions'!$I$10/SUM('Book Income Statement'!K6:K7))</f>
        <v>2.2081253073152336</v>
      </c>
      <c r="K50" s="810">
        <f>IF(Operations!K3&gt;ProjectLife,0,'Returns Summary'!K23/'Project Assumptions'!$I$10/SUM('Book Income Statement'!L6:L7))</f>
        <v>2.7872903129713422</v>
      </c>
      <c r="L50" s="810">
        <f>IF(Operations!L3&gt;ProjectLife,0,'Returns Summary'!L23/'Project Assumptions'!$I$10/SUM('Book Income Statement'!M6:M7))</f>
        <v>3.1075837198340874</v>
      </c>
      <c r="M50" s="810">
        <f>IF(Operations!M3&gt;ProjectLife,0,'Returns Summary'!M23/'Project Assumptions'!$I$10/SUM('Book Income Statement'!N6:N7))</f>
        <v>1.297311434766214</v>
      </c>
      <c r="N50" s="810">
        <f>IF(Operations!N3&gt;ProjectLife,0,'Returns Summary'!N23/'Project Assumptions'!$I$10/SUM('Book Income Statement'!O6:O7))</f>
        <v>1.3782085312971342</v>
      </c>
      <c r="O50" s="810">
        <f>IF(Operations!O3&gt;ProjectLife,0,'Returns Summary'!O23/'Project Assumptions'!$I$10/SUM('Book Income Statement'!P6:P7))</f>
        <v>1.3290305995475113</v>
      </c>
      <c r="P50" s="810">
        <f>IF(Operations!P3&gt;ProjectLife,0,'Returns Summary'!P23/'Project Assumptions'!$I$10/SUM('Book Income Statement'!Q6:Q7))</f>
        <v>1.2798526677978885</v>
      </c>
      <c r="Q50" s="810">
        <f>IF(Operations!Q3&gt;ProjectLife,0,'Returns Summary'!Q23/'Project Assumptions'!$I$10/SUM('Book Income Statement'!R6:R7))</f>
        <v>1.2306747360482653</v>
      </c>
      <c r="R50" s="810">
        <f>IF(Operations!R3&gt;ProjectLife,0,'Returns Summary'!R23/'Project Assumptions'!$I$10/SUM('Book Income Statement'!S6:S7))</f>
        <v>1.1814968042986427</v>
      </c>
      <c r="S50" s="810">
        <f>IF(Operations!S3&gt;ProjectLife,0,'Returns Summary'!S23/'Project Assumptions'!$I$10/SUM('Book Income Statement'!T6:T7))</f>
        <v>1.7335160822021114</v>
      </c>
      <c r="T50" s="810">
        <f>IF(Operations!T3&gt;ProjectLife,0,'Returns Summary'!T23/'Project Assumptions'!$I$10/SUM('Book Income Statement'!U6:U7))</f>
        <v>1.8756391025641026</v>
      </c>
      <c r="U50" s="810">
        <f>IF(Operations!U3&gt;ProjectLife,0,'Returns Summary'!U23/'Project Assumptions'!$I$10/SUM('Book Income Statement'!V6:V7))</f>
        <v>2.1183303921568628</v>
      </c>
      <c r="V50" s="810">
        <f>IF(Operations!V3&gt;ProjectLife,0,'Returns Summary'!V23/'Project Assumptions'!$I$10/SUM('Book Income Statement'!W6:W7))</f>
        <v>2.2112754807692308</v>
      </c>
      <c r="W50" s="810">
        <f>IF(Operations!W3&gt;ProjectLife+1,0,'Returns Summary'!W23/'Project Assumptions'!$I$10/SUM('Book Income Statement'!X6:X7))</f>
        <v>0</v>
      </c>
      <c r="X50" s="811">
        <v>0</v>
      </c>
      <c r="Y50" s="471"/>
      <c r="Z50" s="471"/>
      <c r="AA50" s="471"/>
      <c r="AB50" s="170"/>
      <c r="AC50" s="170"/>
      <c r="AD50" s="170"/>
    </row>
    <row r="51" spans="1:30" s="98" customFormat="1" ht="12.6" customHeight="1">
      <c r="A51" s="779" t="s">
        <v>593</v>
      </c>
      <c r="B51" s="472">
        <f>AVERAGE(C51:V51)</f>
        <v>3.408164788069624</v>
      </c>
      <c r="C51" s="808">
        <f t="shared" ref="C51:V51" si="14">SUM(C47:C50)</f>
        <v>7.4572630219590108</v>
      </c>
      <c r="D51" s="808">
        <f t="shared" si="14"/>
        <v>3.3656301593167792</v>
      </c>
      <c r="E51" s="808">
        <f t="shared" si="14"/>
        <v>3.655052246696302</v>
      </c>
      <c r="F51" s="808">
        <f t="shared" si="14"/>
        <v>3.9188881529742403</v>
      </c>
      <c r="G51" s="808">
        <f t="shared" si="14"/>
        <v>3.225842027663175</v>
      </c>
      <c r="H51" s="808">
        <f t="shared" si="14"/>
        <v>3.2154349727397022</v>
      </c>
      <c r="I51" s="808">
        <f t="shared" si="14"/>
        <v>3.290566466464778</v>
      </c>
      <c r="J51" s="808">
        <f t="shared" si="14"/>
        <v>3.2353722470490185</v>
      </c>
      <c r="K51" s="808">
        <f t="shared" si="14"/>
        <v>3.8395189024131158</v>
      </c>
      <c r="L51" s="808">
        <f t="shared" si="14"/>
        <v>4.1856375336119278</v>
      </c>
      <c r="M51" s="808">
        <f t="shared" si="14"/>
        <v>2.4010135198932754</v>
      </c>
      <c r="N51" s="808">
        <f t="shared" si="14"/>
        <v>2.6590540550389243</v>
      </c>
      <c r="O51" s="808">
        <f t="shared" si="14"/>
        <v>2.6258369563426198</v>
      </c>
      <c r="P51" s="808">
        <f t="shared" si="14"/>
        <v>2.5904318037608078</v>
      </c>
      <c r="Q51" s="808">
        <f t="shared" si="14"/>
        <v>2.5560045853750637</v>
      </c>
      <c r="R51" s="808">
        <f t="shared" si="14"/>
        <v>2.5225846392112716</v>
      </c>
      <c r="S51" s="808">
        <f t="shared" si="14"/>
        <v>3.0851243839665727</v>
      </c>
      <c r="T51" s="808">
        <f t="shared" si="14"/>
        <v>3.2356989817193607</v>
      </c>
      <c r="U51" s="808">
        <f t="shared" si="14"/>
        <v>3.4879425222561933</v>
      </c>
      <c r="V51" s="808">
        <f t="shared" si="14"/>
        <v>3.6103985829403307</v>
      </c>
      <c r="W51" s="808">
        <f>SUM(W47:W50)</f>
        <v>1.4392142924994507</v>
      </c>
      <c r="X51" s="809">
        <f>SUM(X47:X50)</f>
        <v>0</v>
      </c>
      <c r="Y51" s="469"/>
      <c r="Z51" s="469"/>
      <c r="AA51" s="469"/>
      <c r="AB51" s="170"/>
      <c r="AC51" s="170"/>
      <c r="AD51" s="170"/>
    </row>
    <row r="52" spans="1:30" s="98" customFormat="1" ht="12.6" customHeight="1">
      <c r="A52" s="779"/>
      <c r="B52" s="472"/>
      <c r="C52" s="808"/>
      <c r="D52" s="808"/>
      <c r="E52" s="808"/>
      <c r="F52" s="808"/>
      <c r="G52" s="808"/>
      <c r="H52" s="808"/>
      <c r="I52" s="808"/>
      <c r="J52" s="808"/>
      <c r="K52" s="808"/>
      <c r="L52" s="808"/>
      <c r="M52" s="808"/>
      <c r="N52" s="808"/>
      <c r="O52" s="808"/>
      <c r="P52" s="808"/>
      <c r="Q52" s="808"/>
      <c r="R52" s="808"/>
      <c r="S52" s="808"/>
      <c r="T52" s="808"/>
      <c r="U52" s="808"/>
      <c r="V52" s="808"/>
      <c r="W52" s="808"/>
      <c r="X52" s="809"/>
      <c r="Y52" s="469"/>
      <c r="Z52" s="469"/>
      <c r="AA52" s="469"/>
      <c r="AB52" s="170"/>
      <c r="AC52" s="170"/>
      <c r="AD52" s="170"/>
    </row>
    <row r="53" spans="1:30" s="98" customFormat="1" ht="12.6" customHeight="1">
      <c r="A53" s="779" t="s">
        <v>594</v>
      </c>
      <c r="B53" s="472">
        <f>AVERAGE(C53:V53)</f>
        <v>0.26708037113161182</v>
      </c>
      <c r="C53" s="808">
        <f>'PPA Assumptions &amp; Summary'!C38/'Project Assumptions'!$I$10/SUM('Book Income Statement'!D6:D7)</f>
        <v>0.1987916999378937</v>
      </c>
      <c r="D53" s="808">
        <f>'PPA Assumptions &amp; Summary'!D38/'Project Assumptions'!$I$10/SUM('Book Income Statement'!E6:E7)</f>
        <v>0.20475545093603054</v>
      </c>
      <c r="E53" s="808">
        <f>'PPA Assumptions &amp; Summary'!E38/'Project Assumptions'!$I$10/SUM('Book Income Statement'!F6:F7)</f>
        <v>0.21089811446411144</v>
      </c>
      <c r="F53" s="808">
        <f>'PPA Assumptions &amp; Summary'!F38/'Project Assumptions'!$I$10/SUM('Book Income Statement'!G6:G7)</f>
        <v>0.21722505789803481</v>
      </c>
      <c r="G53" s="808">
        <f>'PPA Assumptions &amp; Summary'!G38/'Project Assumptions'!$I$10/SUM('Book Income Statement'!H6:H7)</f>
        <v>0.22374180963497581</v>
      </c>
      <c r="H53" s="808">
        <f>'PPA Assumptions &amp; Summary'!H38/'Project Assumptions'!$I$10/SUM('Book Income Statement'!I6:I7)</f>
        <v>0.23045406392402504</v>
      </c>
      <c r="I53" s="808">
        <f>'PPA Assumptions &amp; Summary'!I38/'Project Assumptions'!$I$10/SUM('Book Income Statement'!J6:J7)</f>
        <v>0.23736768584174581</v>
      </c>
      <c r="J53" s="808">
        <f>'PPA Assumptions &amp; Summary'!J38/'Project Assumptions'!$I$10/SUM('Book Income Statement'!K6:K7)</f>
        <v>0.24448871641699821</v>
      </c>
      <c r="K53" s="808">
        <f>'PPA Assumptions &amp; Summary'!K38/'Project Assumptions'!$I$10/SUM('Book Income Statement'!L6:L7)</f>
        <v>0.25182337790950815</v>
      </c>
      <c r="L53" s="808">
        <f>'PPA Assumptions &amp; Summary'!L38/'Project Assumptions'!$I$10/SUM('Book Income Statement'!M6:M7)</f>
        <v>0.2593780792467934</v>
      </c>
      <c r="M53" s="808">
        <f>'PPA Assumptions &amp; Summary'!M38/'Project Assumptions'!$I$10/SUM('Book Income Statement'!N6:N7)</f>
        <v>0.2671594216241972</v>
      </c>
      <c r="N53" s="808">
        <f>'PPA Assumptions &amp; Summary'!N38/'Project Assumptions'!$I$10/SUM('Book Income Statement'!O6:O7)</f>
        <v>0.27517420427292311</v>
      </c>
      <c r="O53" s="808">
        <f>'PPA Assumptions &amp; Summary'!O38/'Project Assumptions'!$I$10/SUM('Book Income Statement'!P6:P7)</f>
        <v>0.28342943040111074</v>
      </c>
      <c r="P53" s="808">
        <f>'PPA Assumptions &amp; Summary'!P38/'Project Assumptions'!$I$10/SUM('Book Income Statement'!Q6:Q7)</f>
        <v>0.29193231331314412</v>
      </c>
      <c r="Q53" s="808">
        <f>'PPA Assumptions &amp; Summary'!Q38/'Project Assumptions'!$I$10/SUM('Book Income Statement'!R6:R7)</f>
        <v>0.30069028271253839</v>
      </c>
      <c r="R53" s="808">
        <f>'PPA Assumptions &amp; Summary'!R38/'Project Assumptions'!$I$10/SUM('Book Income Statement'!S6:S7)</f>
        <v>0.3097109911939146</v>
      </c>
      <c r="S53" s="808">
        <f>'PPA Assumptions &amp; Summary'!S38/'Project Assumptions'!$I$10/SUM('Book Income Statement'!T6:T7)</f>
        <v>0.31900232092973207</v>
      </c>
      <c r="T53" s="808">
        <f>'PPA Assumptions &amp; Summary'!T38/'Project Assumptions'!$I$10/SUM('Book Income Statement'!U6:U7)</f>
        <v>0.32857239055762394</v>
      </c>
      <c r="U53" s="808">
        <f>'PPA Assumptions &amp; Summary'!U38/'Project Assumptions'!$I$10/SUM('Book Income Statement'!V6:V7)</f>
        <v>0.33842956227435272</v>
      </c>
      <c r="V53" s="808">
        <f>'PPA Assumptions &amp; Summary'!V38/'Project Assumptions'!$I$10/SUM('Book Income Statement'!W6:W7)</f>
        <v>0.34858244914258324</v>
      </c>
      <c r="W53" s="808">
        <f>'PPA Assumptions &amp; Summary'!W38/'Project Assumptions'!$I$10/SUM('Book Income Statement'!X6:X7)</f>
        <v>0.3590399226168608</v>
      </c>
      <c r="X53" s="809">
        <v>0</v>
      </c>
      <c r="Y53" s="474"/>
      <c r="Z53" s="474"/>
      <c r="AA53" s="474"/>
      <c r="AB53" s="170"/>
      <c r="AC53" s="170"/>
      <c r="AD53" s="170"/>
    </row>
    <row r="54" spans="1:30" s="98" customFormat="1" ht="12.6" customHeight="1">
      <c r="A54" s="779" t="s">
        <v>417</v>
      </c>
      <c r="B54" s="475">
        <f>AVERAGE(C54:V54)</f>
        <v>0.18880963451158603</v>
      </c>
      <c r="C54" s="808">
        <f>'PPA Assumptions &amp; Summary'!C39/'Project Assumptions'!$I$10/SUM('Book Income Statement'!D6:D7)</f>
        <v>0.15174381070889892</v>
      </c>
      <c r="D54" s="808">
        <f>'PPA Assumptions &amp; Summary'!D39/'Project Assumptions'!$I$10/SUM('Book Income Statement'!E6:E7)</f>
        <v>0.14430337479260932</v>
      </c>
      <c r="E54" s="808">
        <f>'PPA Assumptions &amp; Summary'!E39/'Project Assumptions'!$I$10/SUM('Book Income Statement'!F6:F7)</f>
        <v>0.1486324760363876</v>
      </c>
      <c r="F54" s="808">
        <f>'PPA Assumptions &amp; Summary'!F39/'Project Assumptions'!$I$10/SUM('Book Income Statement'!G6:G7)</f>
        <v>0.15309145031747926</v>
      </c>
      <c r="G54" s="808">
        <f>'PPA Assumptions &amp; Summary'!G39/'Project Assumptions'!$I$10/SUM('Book Income Statement'!H6:H7)</f>
        <v>0.15768419382700363</v>
      </c>
      <c r="H54" s="808">
        <f>'PPA Assumptions &amp; Summary'!H39/'Project Assumptions'!$I$10/SUM('Book Income Statement'!I6:I7)</f>
        <v>0.16241471964181373</v>
      </c>
      <c r="I54" s="808">
        <f>'PPA Assumptions &amp; Summary'!I39/'Project Assumptions'!$I$10/SUM('Book Income Statement'!J6:J7)</f>
        <v>0.16728716123106813</v>
      </c>
      <c r="J54" s="808">
        <f>'PPA Assumptions &amp; Summary'!J39/'Project Assumptions'!$I$10/SUM('Book Income Statement'!K6:K7)</f>
        <v>0.17230577606800021</v>
      </c>
      <c r="K54" s="808">
        <f>'PPA Assumptions &amp; Summary'!K39/'Project Assumptions'!$I$10/SUM('Book Income Statement'!L6:L7)</f>
        <v>0.17747494935004018</v>
      </c>
      <c r="L54" s="808">
        <f>'PPA Assumptions &amp; Summary'!L39/'Project Assumptions'!$I$10/SUM('Book Income Statement'!M6:M7)</f>
        <v>0.18279919783054141</v>
      </c>
      <c r="M54" s="808">
        <f>'PPA Assumptions &amp; Summary'!M39/'Project Assumptions'!$I$10/SUM('Book Income Statement'!N6:N7)</f>
        <v>0.18828317376545764</v>
      </c>
      <c r="N54" s="808">
        <f>'PPA Assumptions &amp; Summary'!N39/'Project Assumptions'!$I$10/SUM('Book Income Statement'!O6:O7)</f>
        <v>0.19393166897842137</v>
      </c>
      <c r="O54" s="808">
        <f>'PPA Assumptions &amp; Summary'!O39/'Project Assumptions'!$I$10/SUM('Book Income Statement'!P6:P7)</f>
        <v>0.199749619047774</v>
      </c>
      <c r="P54" s="808">
        <f>'PPA Assumptions &amp; Summary'!P39/'Project Assumptions'!$I$10/SUM('Book Income Statement'!Q6:Q7)</f>
        <v>0.20574210761920722</v>
      </c>
      <c r="Q54" s="808">
        <f>'PPA Assumptions &amp; Summary'!Q39/'Project Assumptions'!$I$10/SUM('Book Income Statement'!R6:R7)</f>
        <v>0.21191437084778342</v>
      </c>
      <c r="R54" s="808">
        <f>'PPA Assumptions &amp; Summary'!R39/'Project Assumptions'!$I$10/SUM('Book Income Statement'!S6:S7)</f>
        <v>0.21827180197321697</v>
      </c>
      <c r="S54" s="808">
        <f>'PPA Assumptions &amp; Summary'!S39/'Project Assumptions'!$I$10/SUM('Book Income Statement'!T6:T7)</f>
        <v>0.22481995603241345</v>
      </c>
      <c r="T54" s="808">
        <f>'PPA Assumptions &amp; Summary'!T39/'Project Assumptions'!$I$10/SUM('Book Income Statement'!U6:U7)</f>
        <v>0.23156455471338586</v>
      </c>
      <c r="U54" s="808">
        <f>'PPA Assumptions &amp; Summary'!U39/'Project Assumptions'!$I$10/SUM('Book Income Statement'!V6:V7)</f>
        <v>0.23851149135478741</v>
      </c>
      <c r="V54" s="808">
        <f>'PPA Assumptions &amp; Summary'!V39/'Project Assumptions'!$I$10/SUM('Book Income Statement'!W6:W7)</f>
        <v>0.24566683609543105</v>
      </c>
      <c r="W54" s="808">
        <f>'PPA Assumptions &amp; Summary'!W39/'Project Assumptions'!$I$10/SUM('Book Income Statement'!X6:X7)</f>
        <v>0.25303684117829395</v>
      </c>
      <c r="X54" s="809">
        <v>0</v>
      </c>
      <c r="Y54" s="469"/>
      <c r="Z54" s="469"/>
      <c r="AA54" s="469"/>
      <c r="AB54" s="170"/>
      <c r="AC54" s="170"/>
      <c r="AD54" s="170"/>
    </row>
    <row r="55" spans="1:30">
      <c r="A55" s="678"/>
      <c r="B55" s="241"/>
      <c r="C55" s="241"/>
      <c r="D55" s="241"/>
      <c r="E55" s="241"/>
      <c r="F55" s="241"/>
      <c r="G55" s="241"/>
      <c r="H55" s="241"/>
      <c r="I55" s="241"/>
      <c r="J55" s="241"/>
      <c r="K55" s="241"/>
      <c r="L55" s="241"/>
      <c r="M55" s="241"/>
      <c r="N55" s="241"/>
      <c r="O55" s="241"/>
      <c r="P55" s="241"/>
      <c r="Q55" s="241"/>
      <c r="R55" s="241"/>
      <c r="S55" s="241"/>
      <c r="T55" s="241"/>
      <c r="U55" s="241"/>
      <c r="V55" s="241"/>
      <c r="W55" s="241"/>
      <c r="X55" s="807"/>
    </row>
    <row r="56" spans="1:30">
      <c r="A56" s="795" t="s">
        <v>453</v>
      </c>
      <c r="B56" s="440" t="s">
        <v>414</v>
      </c>
      <c r="C56" s="799"/>
      <c r="D56" s="799"/>
      <c r="E56" s="799"/>
      <c r="F56" s="799"/>
      <c r="G56" s="799"/>
      <c r="H56" s="799"/>
      <c r="I56" s="799"/>
      <c r="J56" s="799"/>
      <c r="K56" s="799"/>
      <c r="L56" s="799"/>
      <c r="M56" s="799"/>
      <c r="N56" s="799"/>
      <c r="O56" s="799"/>
      <c r="P56" s="799"/>
      <c r="Q56" s="799"/>
      <c r="R56" s="799"/>
      <c r="S56" s="799"/>
      <c r="T56" s="799"/>
      <c r="U56" s="799"/>
      <c r="V56" s="799"/>
      <c r="W56" s="799"/>
      <c r="X56" s="800"/>
      <c r="Y56" s="185"/>
      <c r="Z56" s="185"/>
      <c r="AA56" s="185"/>
    </row>
    <row r="57" spans="1:30" s="98" customFormat="1" ht="11.25">
      <c r="A57" s="779" t="s">
        <v>149</v>
      </c>
      <c r="B57" s="468">
        <f>AVERAGE(C57:V57)</f>
        <v>1.1958937786328669</v>
      </c>
      <c r="C57" s="808">
        <f>IF(Operations!C3&gt;ProjectLife,0,C29*1000/(Operations!C31))</f>
        <v>0.89012066365007547</v>
      </c>
      <c r="D57" s="808">
        <f>IF(Operations!D3&gt;ProjectLife,0,D29*1000/(Operations!D31))</f>
        <v>0.91682428355957779</v>
      </c>
      <c r="E57" s="808">
        <f>IF(Operations!E3&gt;ProjectLife,0,E29*1000/(Operations!E31))</f>
        <v>0.94432901206636488</v>
      </c>
      <c r="F57" s="808">
        <f>IF(Operations!F3&gt;ProjectLife,0,F29*1000/(Operations!F31))</f>
        <v>0.97265888242835596</v>
      </c>
      <c r="G57" s="808">
        <f>IF(Operations!G3&gt;ProjectLife,0,G29*1000/(Operations!G31))</f>
        <v>1.0018386489012068</v>
      </c>
      <c r="H57" s="808">
        <f>IF(Operations!H3&gt;ProjectLife,0,H29*1000/(Operations!H31))</f>
        <v>1.0318938083682427</v>
      </c>
      <c r="I57" s="808">
        <f>IF(Operations!I3&gt;ProjectLife,0,I29*1000/(Operations!I31))</f>
        <v>1.0628506226192902</v>
      </c>
      <c r="J57" s="808">
        <f>IF(Operations!J3&gt;ProjectLife,0,J29*1000/(Operations!J31))</f>
        <v>1.0947361412978689</v>
      </c>
      <c r="K57" s="808">
        <f>IF(Operations!K3&gt;ProjectLife,0,K29*1000/(Operations!K31))</f>
        <v>1.1275782255368045</v>
      </c>
      <c r="L57" s="808">
        <f>IF(Operations!L3&gt;ProjectLife,0,L29*1000/(Operations!L31))</f>
        <v>1.1614055723029089</v>
      </c>
      <c r="M57" s="808">
        <f>IF(Operations!M3&gt;ProjectLife,0,M29*1000/(Operations!M31))</f>
        <v>1.1962477394719964</v>
      </c>
      <c r="N57" s="808">
        <f>IF(Operations!N3&gt;ProjectLife,0,N29*1000/(Operations!N31))</f>
        <v>1.2321351716561562</v>
      </c>
      <c r="O57" s="808">
        <f>IF(Operations!O3&gt;ProjectLife,0,O29*1000/(Operations!O31))</f>
        <v>1.2690992268058408</v>
      </c>
      <c r="P57" s="808">
        <f>IF(Operations!P3&gt;ProjectLife,0,P29*1000/(Operations!P31))</f>
        <v>1.3071722036100157</v>
      </c>
      <c r="Q57" s="808">
        <f>IF(Operations!Q3&gt;ProjectLife,0,Q29*1000/(Operations!Q31))</f>
        <v>1.3463873697183164</v>
      </c>
      <c r="R57" s="808">
        <f>IF(Operations!R3&gt;ProjectLife,0,R29*1000/(Operations!R31))</f>
        <v>1.3867789908098658</v>
      </c>
      <c r="S57" s="808">
        <f>IF(Operations!S3&gt;ProjectLife,0,S29*1000/(Operations!S31))</f>
        <v>1.4283823605341617</v>
      </c>
      <c r="T57" s="808">
        <f>IF(Operations!T3&gt;ProjectLife,0,T29*1000/(Operations!T31))</f>
        <v>1.4712338313501867</v>
      </c>
      <c r="U57" s="808">
        <f>IF(Operations!U3&gt;ProjectLife,0,U29*1000/(Operations!U31))</f>
        <v>1.5153708462906923</v>
      </c>
      <c r="V57" s="808">
        <f>IF(Operations!V3&gt;ProjectLife,0,V29*1000/(Operations!V31))</f>
        <v>1.560831971679413</v>
      </c>
      <c r="W57" s="808">
        <f>IF(Operations!W3&gt;ProjectLife+1,0,W29*1000/(Operations!W31))</f>
        <v>1.6076569308297952</v>
      </c>
      <c r="X57" s="809">
        <v>0</v>
      </c>
      <c r="Y57" s="469"/>
      <c r="Z57" s="469"/>
      <c r="AA57" s="469"/>
      <c r="AB57" s="170"/>
      <c r="AC57" s="170"/>
      <c r="AD57" s="170"/>
    </row>
    <row r="58" spans="1:30" s="98" customFormat="1" ht="13.5">
      <c r="A58" s="779" t="s">
        <v>595</v>
      </c>
      <c r="B58" s="470">
        <f>AVERAGE(C58:V58)</f>
        <v>4.7359412616147676</v>
      </c>
      <c r="C58" s="810">
        <f>IF(Operations!C3&gt;ProjectLife,0,C31*1000/Operations!C31)</f>
        <v>1.4605646276949695</v>
      </c>
      <c r="D58" s="810">
        <f>IF(Operations!D3&gt;ProjectLife,0,D31*1000/Operations!D31)</f>
        <v>3.4228286405337509</v>
      </c>
      <c r="E58" s="810">
        <f>IF(Operations!E3&gt;ProjectLife,0,E31*1000/Operations!E31)</f>
        <v>3.4772980525431199</v>
      </c>
      <c r="F58" s="810">
        <f>IF(Operations!F3&gt;ProjectLife,0,F31*1000/Operations!F31)</f>
        <v>3.5816169941194138</v>
      </c>
      <c r="G58" s="810">
        <f>IF(Operations!G3&gt;ProjectLife,0,G31*1000/Operations!G31)</f>
        <v>3.9263553428862772</v>
      </c>
      <c r="H58" s="810">
        <f>IF(Operations!H3&gt;ProjectLife,0,H31*1000/Operations!H31)</f>
        <v>4.2395035567607255</v>
      </c>
      <c r="I58" s="810">
        <f>IF(Operations!I3&gt;ProjectLife,0,I31*1000/Operations!I31)</f>
        <v>4.3666886634635471</v>
      </c>
      <c r="J58" s="810">
        <f>IF(Operations!J3&gt;ProjectLife,0,J31*1000/Operations!J31)</f>
        <v>4.4976893233674549</v>
      </c>
      <c r="K58" s="810">
        <f>IF(Operations!K3&gt;ProjectLife,0,K31*1000/Operations!K31)</f>
        <v>4.6326200030684772</v>
      </c>
      <c r="L58" s="810">
        <f>IF(Operations!L3&gt;ProjectLife,0,L31*1000/Operations!L31)</f>
        <v>4.7715986031605322</v>
      </c>
      <c r="M58" s="810">
        <f>IF(Operations!M3&gt;ProjectLife,0,M31*1000/Operations!M31)</f>
        <v>4.9147465612553471</v>
      </c>
      <c r="N58" s="810">
        <f>IF(Operations!N3&gt;ProjectLife,0,N31*1000/Operations!N31)</f>
        <v>5.0621889580930084</v>
      </c>
      <c r="O58" s="810">
        <f>IF(Operations!O3&gt;ProjectLife,0,O31*1000/Operations!O31)</f>
        <v>5.2140546268357983</v>
      </c>
      <c r="P58" s="810">
        <f>IF(Operations!P3&gt;ProjectLife,0,P31*1000/Operations!P31)</f>
        <v>5.370476265640872</v>
      </c>
      <c r="Q58" s="810">
        <f>IF(Operations!Q3&gt;ProjectLife,0,Q31*1000/Operations!Q31)</f>
        <v>5.5315905536100978</v>
      </c>
      <c r="R58" s="810">
        <f>IF(Operations!R3&gt;ProjectLife,0,R31*1000/Operations!R31)</f>
        <v>5.6975382702184021</v>
      </c>
      <c r="S58" s="810">
        <f>IF(Operations!S3&gt;ProjectLife,0,S31*1000/Operations!S31)</f>
        <v>5.8684644183249537</v>
      </c>
      <c r="T58" s="810">
        <f>IF(Operations!T3&gt;ProjectLife,0,T31*1000/Operations!T31)</f>
        <v>6.0445183508747018</v>
      </c>
      <c r="U58" s="810">
        <f>IF(Operations!U3&gt;ProjectLife,0,U31*1000/Operations!U31)</f>
        <v>6.2258539014009431</v>
      </c>
      <c r="V58" s="810">
        <f>IF(Operations!V3&gt;ProjectLife,0,V31*1000/Operations!V31)</f>
        <v>6.412629518442972</v>
      </c>
      <c r="W58" s="810">
        <f>IF(Operations!W3&gt;ProjectLife+1,0,W31*1000/Operations!W31)</f>
        <v>6.6050084039962593</v>
      </c>
      <c r="X58" s="811">
        <v>0</v>
      </c>
      <c r="Y58" s="471"/>
      <c r="Z58" s="471"/>
      <c r="AA58" s="471"/>
      <c r="AB58" s="170"/>
      <c r="AC58" s="170"/>
      <c r="AD58" s="170"/>
    </row>
    <row r="59" spans="1:30" s="98" customFormat="1" ht="11.25">
      <c r="A59" s="814" t="s">
        <v>596</v>
      </c>
      <c r="B59" s="475">
        <f>AVERAGE(C59:V59)</f>
        <v>5.9318350402476359</v>
      </c>
      <c r="C59" s="815">
        <f>IF(Operations!C3&gt;ProjectLife,0,SUM(C57:C58))</f>
        <v>2.3506852913450449</v>
      </c>
      <c r="D59" s="816">
        <f>IF(Operations!D3&gt;ProjectLife,0,SUM(D57:D58))</f>
        <v>4.339652924093329</v>
      </c>
      <c r="E59" s="816">
        <f>IF(Operations!E3&gt;ProjectLife,0,SUM(E57:E58))</f>
        <v>4.4216270646094848</v>
      </c>
      <c r="F59" s="816">
        <f>IF(Operations!F3&gt;ProjectLife,0,SUM(F57:F58))</f>
        <v>4.55427587654777</v>
      </c>
      <c r="G59" s="816">
        <f>IF(Operations!G3&gt;ProjectLife,0,SUM(G57:G58))</f>
        <v>4.9281939917874844</v>
      </c>
      <c r="H59" s="816">
        <f>IF(Operations!H3&gt;ProjectLife,0,SUM(H57:H58))</f>
        <v>5.2713973651289683</v>
      </c>
      <c r="I59" s="816">
        <f>IF(Operations!I3&gt;ProjectLife,0,SUM(I57:I58))</f>
        <v>5.4295392860828375</v>
      </c>
      <c r="J59" s="816">
        <f>IF(Operations!J3&gt;ProjectLife,0,SUM(J57:J58))</f>
        <v>5.5924254646653235</v>
      </c>
      <c r="K59" s="816">
        <f>IF(Operations!K3&gt;ProjectLife,0,SUM(K57:K58))</f>
        <v>5.7601982286052813</v>
      </c>
      <c r="L59" s="816">
        <f>IF(Operations!L3&gt;ProjectLife,0,SUM(L57:L58))</f>
        <v>5.9330041754634415</v>
      </c>
      <c r="M59" s="816">
        <f>IF(Operations!M3&gt;ProjectLife,0,SUM(M57:M58))</f>
        <v>6.1109943007273433</v>
      </c>
      <c r="N59" s="816">
        <f>IF(Operations!N3&gt;ProjectLife,0,SUM(N57:N58))</f>
        <v>6.2943241297491648</v>
      </c>
      <c r="O59" s="816">
        <f>IF(Operations!O3&gt;ProjectLife,0,SUM(O57:O58))</f>
        <v>6.4831538536416389</v>
      </c>
      <c r="P59" s="816">
        <f>IF(Operations!P3&gt;ProjectLife,0,SUM(P57:P58))</f>
        <v>6.6776484692508875</v>
      </c>
      <c r="Q59" s="816">
        <f>IF(Operations!Q3&gt;ProjectLife,0,SUM(Q57:Q58))</f>
        <v>6.8779779233284142</v>
      </c>
      <c r="R59" s="816">
        <f>IF(Operations!R3&gt;ProjectLife,0,SUM(R57:R58))</f>
        <v>7.0843172610282679</v>
      </c>
      <c r="S59" s="816">
        <f>IF(Operations!S3&gt;ProjectLife,0,SUM(S57:S58))</f>
        <v>7.2968467788591154</v>
      </c>
      <c r="T59" s="816">
        <f>IF(Operations!T3&gt;ProjectLife,0,SUM(T57:T58))</f>
        <v>7.5157521822248885</v>
      </c>
      <c r="U59" s="816">
        <f>IF(Operations!U3&gt;ProjectLife,0,SUM(U57:U58))</f>
        <v>7.7412247476916356</v>
      </c>
      <c r="V59" s="816">
        <f>IF(Operations!V3&gt;ProjectLife,0,SUM(V57:V58))</f>
        <v>7.9734614901223848</v>
      </c>
      <c r="W59" s="816">
        <f>IF(Operations!W3&gt;ProjectLife+1,0,SUM(W57:W58))</f>
        <v>8.2126653348260543</v>
      </c>
      <c r="X59" s="817">
        <v>0</v>
      </c>
      <c r="Y59" s="469"/>
      <c r="Z59" s="469"/>
      <c r="AA59" s="469"/>
      <c r="AB59" s="170"/>
      <c r="AC59" s="170"/>
      <c r="AD59" s="170"/>
    </row>
    <row r="60" spans="1:30" s="98" customFormat="1" ht="12.6" customHeight="1">
      <c r="A60" s="170"/>
      <c r="B60" s="170"/>
      <c r="C60" s="476"/>
      <c r="D60" s="469"/>
      <c r="E60" s="469"/>
      <c r="F60" s="469"/>
      <c r="G60" s="469"/>
      <c r="H60" s="469"/>
      <c r="I60" s="469"/>
      <c r="J60" s="469"/>
      <c r="K60" s="469"/>
      <c r="L60" s="469"/>
      <c r="M60" s="469"/>
      <c r="N60" s="469"/>
      <c r="O60" s="469"/>
      <c r="P60" s="469"/>
      <c r="Q60" s="469"/>
      <c r="R60" s="469"/>
      <c r="S60" s="469"/>
      <c r="T60" s="469"/>
      <c r="U60" s="469"/>
      <c r="V60" s="469"/>
      <c r="W60" s="469"/>
      <c r="X60" s="469"/>
      <c r="Y60" s="469"/>
      <c r="Z60" s="469"/>
      <c r="AA60" s="469"/>
      <c r="AB60" s="170"/>
      <c r="AC60" s="170"/>
      <c r="AD60" s="170"/>
    </row>
    <row r="61" spans="1:30" s="98" customFormat="1" ht="12.6" customHeight="1">
      <c r="A61" s="170"/>
      <c r="B61" s="170"/>
      <c r="C61" s="476"/>
      <c r="D61" s="210"/>
      <c r="E61" s="210"/>
      <c r="F61" s="210"/>
      <c r="G61" s="210"/>
      <c r="H61" s="210"/>
      <c r="I61" s="210"/>
      <c r="J61" s="210"/>
      <c r="K61" s="210"/>
      <c r="L61" s="210"/>
      <c r="M61" s="210"/>
      <c r="N61" s="210"/>
      <c r="O61" s="210"/>
      <c r="P61" s="210"/>
      <c r="Q61" s="210"/>
      <c r="R61" s="210"/>
      <c r="S61" s="210"/>
      <c r="T61" s="210"/>
      <c r="U61" s="210"/>
      <c r="V61" s="210"/>
      <c r="W61" s="469"/>
      <c r="X61" s="469"/>
      <c r="Y61" s="469"/>
      <c r="Z61" s="469"/>
      <c r="AA61" s="469"/>
      <c r="AB61" s="170"/>
      <c r="AC61" s="170"/>
      <c r="AD61" s="170"/>
    </row>
    <row r="62" spans="1:30" ht="12.6" customHeight="1">
      <c r="A62" s="792" t="s">
        <v>270</v>
      </c>
      <c r="B62" s="793" t="s">
        <v>414</v>
      </c>
      <c r="C62" s="630"/>
      <c r="D62" s="818"/>
      <c r="E62" s="818"/>
      <c r="F62" s="818"/>
      <c r="G62" s="818"/>
      <c r="H62" s="818"/>
      <c r="I62" s="818"/>
      <c r="J62" s="818"/>
      <c r="K62" s="818"/>
      <c r="L62" s="818"/>
      <c r="M62" s="818"/>
      <c r="N62" s="818"/>
      <c r="O62" s="818"/>
      <c r="P62" s="818"/>
      <c r="Q62" s="818"/>
      <c r="R62" s="818"/>
      <c r="S62" s="818"/>
      <c r="T62" s="818"/>
      <c r="U62" s="818"/>
      <c r="V62" s="818"/>
      <c r="W62" s="818"/>
      <c r="X62" s="819"/>
    </row>
    <row r="63" spans="1:30" ht="12.6" customHeight="1">
      <c r="A63" s="820" t="s">
        <v>272</v>
      </c>
      <c r="B63" s="477">
        <f>AVERAGE(C63:V63)</f>
        <v>6.2769292917070736</v>
      </c>
      <c r="C63" s="450">
        <f>D63/(1+'Project Assumptions'!H32)</f>
        <v>5.4933333333333323</v>
      </c>
      <c r="D63" s="478">
        <f>D68*(1+'Project Assumptions'!$H$32)^('PPA Assumptions &amp; Summary'!D5-1998)/12</f>
        <v>5.6581333333333328</v>
      </c>
      <c r="E63" s="478">
        <f>E68*(1+'Project Assumptions'!$H$32)^('PPA Assumptions &amp; Summary'!E5-1998)/12</f>
        <v>5.6457561666666676</v>
      </c>
      <c r="F63" s="478">
        <f>F68*(1+'Project Assumptions'!$H$32)^('PPA Assumptions &amp; Summary'!F5-1998)/12</f>
        <v>5.7213364508333333</v>
      </c>
      <c r="G63" s="478">
        <f>G68*(1+'Project Assumptions'!$H$32)^('PPA Assumptions &amp; Summary'!G5-1998)/12</f>
        <v>5.6997641986416658</v>
      </c>
      <c r="H63" s="478">
        <f>H68*(1+'Project Assumptions'!$H$32)^('PPA Assumptions &amp; Summary'!H5-1998)/12</f>
        <v>5.7712527665568336</v>
      </c>
      <c r="I63" s="478">
        <f>I68*(1+'Project Assumptions'!$H$32)^('PPA Assumptions &amp; Summary'!I5-1998)/12</f>
        <v>5.8419008607681322</v>
      </c>
      <c r="J63" s="478">
        <f>J68*(1+'Project Assumptions'!$H$32)^('PPA Assumptions &amp; Summary'!J5-1998)/12</f>
        <v>5.9115937131422074</v>
      </c>
      <c r="K63" s="478">
        <f>K68*(1+'Project Assumptions'!$H$32)^('PPA Assumptions &amp; Summary'!K5-1998)/12</f>
        <v>6.088941524536474</v>
      </c>
      <c r="L63" s="478">
        <f>L68*(1+'Project Assumptions'!$H$32)^('PPA Assumptions &amp; Summary'!L5-1998)/12</f>
        <v>6.1596167386605574</v>
      </c>
      <c r="M63" s="478">
        <f>M68*(1+'Project Assumptions'!$H$32)^('PPA Assumptions &amp; Summary'!M5-1998)/12</f>
        <v>6.3444052408203753</v>
      </c>
      <c r="N63" s="478">
        <f>N68*(1+'Project Assumptions'!$H$32)^('PPA Assumptions &amp; Summary'!N5-1998)/12</f>
        <v>6.4159239908078041</v>
      </c>
      <c r="O63" s="478">
        <f>O68*(1+'Project Assumptions'!$H$32)^('PPA Assumptions &amp; Summary'!O5-1998)/12</f>
        <v>6.6084017105320383</v>
      </c>
      <c r="P63" s="478">
        <f>P68*(1+'Project Assumptions'!$H$32)^('PPA Assumptions &amp; Summary'!P5-1998)/12</f>
        <v>6.680604618110074</v>
      </c>
      <c r="Q63" s="478">
        <f>Q68*(1+'Project Assumptions'!$H$32)^('PPA Assumptions &amp; Summary'!Q5-1998)/12</f>
        <v>6.7511921386033125</v>
      </c>
      <c r="R63" s="478">
        <f>R68*(1+'Project Assumptions'!$H$32)^('PPA Assumptions &amp; Summary'!R5-1998)/12</f>
        <v>6.8200023661698452</v>
      </c>
      <c r="S63" s="478">
        <f>S68*(1+'Project Assumptions'!$H$32)^('PPA Assumptions &amp; Summary'!S5-1998)/12</f>
        <v>6.8868651344656273</v>
      </c>
      <c r="T63" s="478">
        <f>T68*(1+'Project Assumptions'!$H$32)^('PPA Assumptions &amp; Summary'!T5-1998)/12</f>
        <v>6.951601666729605</v>
      </c>
      <c r="U63" s="478">
        <f>U68*(1+'Project Assumptions'!$H$32)^('PPA Assumptions &amp; Summary'!U5-1998)/12</f>
        <v>7.014024212308402</v>
      </c>
      <c r="V63" s="478">
        <f>V68*(1+'Project Assumptions'!$H$32)^('PPA Assumptions &amp; Summary'!V5-1998)/12</f>
        <v>7.0739356691218687</v>
      </c>
      <c r="W63" s="478">
        <f>W68*(1+'Project Assumptions'!$H$32)^('PPA Assumptions &amp; Summary'!W5-1998)/12</f>
        <v>7.1311291915530655</v>
      </c>
      <c r="X63" s="821">
        <f>X68*(1+'Project Assumptions'!$H$32)^('PPA Assumptions &amp; Summary'!X5-1998)/12</f>
        <v>7.1853877832279265</v>
      </c>
    </row>
    <row r="64" spans="1:30" ht="12.6" customHeight="1">
      <c r="A64" s="820" t="s">
        <v>273</v>
      </c>
      <c r="B64" s="479">
        <f>AVERAGE(C64:V64)</f>
        <v>4.9420607221219957</v>
      </c>
      <c r="C64" s="450">
        <f>D64/(1+'Project Assumptions'!H32)</f>
        <v>4.3774999999999995</v>
      </c>
      <c r="D64" s="478">
        <f>D69*(1+'Project Assumptions'!$H$32)^('PPA Assumptions &amp; Summary'!D5-1998)/12</f>
        <v>4.5088249999999999</v>
      </c>
      <c r="E64" s="478">
        <f>E69*(1+'Project Assumptions'!$H$32)^('PPA Assumptions &amp; Summary'!E5-1998)/12</f>
        <v>4.7351503333333334</v>
      </c>
      <c r="F64" s="478">
        <f>F69*(1+'Project Assumptions'!$H$32)^('PPA Assumptions &amp; Summary'!F5-1998)/12</f>
        <v>4.8772048433333328</v>
      </c>
      <c r="G64" s="478">
        <f>G69*(1+'Project Assumptions'!$H$32)^('PPA Assumptions &amp; Summary'!G5-1998)/12</f>
        <v>5.023520988633333</v>
      </c>
      <c r="H64" s="478">
        <f>H69*(1+'Project Assumptions'!$H$32)^('PPA Assumptions &amp; Summary'!H5-1998)/12</f>
        <v>5.1742266182923329</v>
      </c>
      <c r="I64" s="478">
        <f>I69*(1+'Project Assumptions'!$H$32)^('PPA Assumptions &amp; Summary'!I5-1998)/12</f>
        <v>5.3294534168411039</v>
      </c>
      <c r="J64" s="478">
        <f>J69*(1+'Project Assumptions'!$H$32)^('PPA Assumptions &amp; Summary'!J5-1998)/12</f>
        <v>5.2782086724483994</v>
      </c>
      <c r="K64" s="478">
        <f>K69*(1+'Project Assumptions'!$H$32)^('PPA Assumptions &amp; Summary'!K5-1998)/12</f>
        <v>5.2190927353169778</v>
      </c>
      <c r="L64" s="478">
        <f>L69*(1+'Project Assumptions'!$H$32)^('PPA Assumptions &amp; Summary'!L5-1998)/12</f>
        <v>5.0396864225404565</v>
      </c>
      <c r="M64" s="478">
        <f>M69*(1+'Project Assumptions'!$H$32)^('PPA Assumptions &amp; Summary'!M5-1998)/12</f>
        <v>4.9601713700959298</v>
      </c>
      <c r="N64" s="478">
        <f>N69*(1+'Project Assumptions'!$H$32)^('PPA Assumptions &amp; Summary'!N5-1998)/12</f>
        <v>4.8713496967244438</v>
      </c>
      <c r="O64" s="478">
        <f>O69*(1+'Project Assumptions'!$H$32)^('PPA Assumptions &amp; Summary'!O5-1998)/12</f>
        <v>4.8951123781718797</v>
      </c>
      <c r="P64" s="478">
        <f>P69*(1+'Project Assumptions'!$H$32)^('PPA Assumptions &amp; Summary'!P5-1998)/12</f>
        <v>4.9159166057791106</v>
      </c>
      <c r="Q64" s="478">
        <f>Q69*(1+'Project Assumptions'!$H$32)^('PPA Assumptions &amp; Summary'!Q5-1998)/12</f>
        <v>4.8037328678523572</v>
      </c>
      <c r="R64" s="478">
        <f>R69*(1+'Project Assumptions'!$H$32)^('PPA Assumptions &amp; Summary'!R5-1998)/12</f>
        <v>4.8141193172963614</v>
      </c>
      <c r="S64" s="478">
        <f>S69*(1+'Project Assumptions'!$H$32)^('PPA Assumptions &amp; Summary'!S5-1998)/12</f>
        <v>4.8208055941259396</v>
      </c>
      <c r="T64" s="478">
        <f>T69*(1+'Project Assumptions'!$H$32)^('PPA Assumptions &amp; Summary'!T5-1998)/12</f>
        <v>4.9654297619497179</v>
      </c>
      <c r="U64" s="478">
        <f>U69*(1+'Project Assumptions'!$H$32)^('PPA Assumptions &amp; Summary'!U5-1998)/12</f>
        <v>5.114392654808209</v>
      </c>
      <c r="V64" s="478">
        <f>V69*(1+'Project Assumptions'!$H$32)^('PPA Assumptions &amp; Summary'!V5-1998)/12</f>
        <v>5.117315164896671</v>
      </c>
      <c r="W64" s="478">
        <f>W69*(1+'Project Assumptions'!$H$32)^('PPA Assumptions &amp; Summary'!W5-1998)/12</f>
        <v>5.27083461984357</v>
      </c>
      <c r="X64" s="821">
        <f>X69*(1+'Project Assumptions'!$H$32)^('PPA Assumptions &amp; Summary'!X5-1998)/12</f>
        <v>5.4289596584388775</v>
      </c>
    </row>
    <row r="65" spans="1:31" ht="12.6" customHeight="1">
      <c r="A65" s="820" t="s">
        <v>271</v>
      </c>
      <c r="B65" s="479">
        <f>AVERAGE(C65:V65)</f>
        <v>5.6094950069145346</v>
      </c>
      <c r="C65" s="450">
        <f>AVERAGE(C63,C64)</f>
        <v>4.9354166666666659</v>
      </c>
      <c r="D65" s="450">
        <f>AVERAGE(D63,D64)</f>
        <v>5.0834791666666668</v>
      </c>
      <c r="E65" s="450">
        <f t="shared" ref="E65:V65" si="15">AVERAGE(E63,E64)</f>
        <v>5.1904532500000009</v>
      </c>
      <c r="F65" s="450">
        <f t="shared" si="15"/>
        <v>5.2992706470833326</v>
      </c>
      <c r="G65" s="450">
        <f t="shared" si="15"/>
        <v>5.3616425936374998</v>
      </c>
      <c r="H65" s="450">
        <f t="shared" si="15"/>
        <v>5.4727396924245832</v>
      </c>
      <c r="I65" s="450">
        <f t="shared" si="15"/>
        <v>5.585677138804618</v>
      </c>
      <c r="J65" s="450">
        <f t="shared" si="15"/>
        <v>5.5949011927953034</v>
      </c>
      <c r="K65" s="450">
        <f t="shared" si="15"/>
        <v>5.6540171299267259</v>
      </c>
      <c r="L65" s="450">
        <f t="shared" si="15"/>
        <v>5.5996515806005069</v>
      </c>
      <c r="M65" s="450">
        <f t="shared" si="15"/>
        <v>5.6522883054581525</v>
      </c>
      <c r="N65" s="450">
        <f t="shared" si="15"/>
        <v>5.6436368437661244</v>
      </c>
      <c r="O65" s="450">
        <f t="shared" si="15"/>
        <v>5.751757044351959</v>
      </c>
      <c r="P65" s="450">
        <f t="shared" si="15"/>
        <v>5.7982606119445919</v>
      </c>
      <c r="Q65" s="450">
        <f t="shared" si="15"/>
        <v>5.7774625032278344</v>
      </c>
      <c r="R65" s="450">
        <f t="shared" si="15"/>
        <v>5.8170608417331033</v>
      </c>
      <c r="S65" s="450">
        <f t="shared" si="15"/>
        <v>5.853835364295783</v>
      </c>
      <c r="T65" s="450">
        <f t="shared" si="15"/>
        <v>5.9585157143396614</v>
      </c>
      <c r="U65" s="450">
        <f t="shared" si="15"/>
        <v>6.0642084335583055</v>
      </c>
      <c r="V65" s="450">
        <f t="shared" si="15"/>
        <v>6.0956254170092699</v>
      </c>
      <c r="W65" s="450">
        <f>AVERAGE(W63,W64)</f>
        <v>6.2009819056983178</v>
      </c>
      <c r="X65" s="778">
        <f>AVERAGE(X63,X64)</f>
        <v>6.3071737208334024</v>
      </c>
    </row>
    <row r="66" spans="1:31" ht="12.6" customHeight="1">
      <c r="A66" s="820" t="s">
        <v>276</v>
      </c>
      <c r="B66" s="480">
        <f>AVERAGE(C66:V66)</f>
        <v>5.2757778645182647</v>
      </c>
      <c r="C66" s="450">
        <f>C64+(C65-C64)*'Project Assumptions'!$C$64</f>
        <v>4.6564583333333331</v>
      </c>
      <c r="D66" s="450">
        <f>D64+(D65-D64)*'Project Assumptions'!$C$64</f>
        <v>4.7961520833333333</v>
      </c>
      <c r="E66" s="450">
        <f>E64+(E65-E64)*'Project Assumptions'!$C$64</f>
        <v>4.9628017916666671</v>
      </c>
      <c r="F66" s="450">
        <f>F64+(F65-F64)*'Project Assumptions'!$C$64</f>
        <v>5.0882377452083327</v>
      </c>
      <c r="G66" s="450">
        <f>G64+(G65-G64)*'Project Assumptions'!$C$64</f>
        <v>5.1925817911354164</v>
      </c>
      <c r="H66" s="450">
        <f>H64+(H65-H64)*'Project Assumptions'!$C$64</f>
        <v>5.3234831553584581</v>
      </c>
      <c r="I66" s="450">
        <f>I64+(I65-I64)*'Project Assumptions'!$C$64</f>
        <v>5.4575652778228605</v>
      </c>
      <c r="J66" s="450">
        <f>J64+(J65-J64)*'Project Assumptions'!$C$64</f>
        <v>5.436554932621851</v>
      </c>
      <c r="K66" s="450">
        <f>K64+(K65-K64)*'Project Assumptions'!$C$64</f>
        <v>5.4365549326218519</v>
      </c>
      <c r="L66" s="450">
        <f>L64+(L65-L64)*'Project Assumptions'!$C$64</f>
        <v>5.3196690015704817</v>
      </c>
      <c r="M66" s="450">
        <f>M64+(M65-M64)*'Project Assumptions'!$C$64</f>
        <v>5.3062298377770407</v>
      </c>
      <c r="N66" s="450">
        <f>N64+(N65-N64)*'Project Assumptions'!$C$64</f>
        <v>5.2574932702452841</v>
      </c>
      <c r="O66" s="450">
        <f>O64+(O65-O64)*'Project Assumptions'!$C$64</f>
        <v>5.3234347112619194</v>
      </c>
      <c r="P66" s="450">
        <f>P64+(P65-P64)*'Project Assumptions'!$C$64</f>
        <v>5.3570886088618508</v>
      </c>
      <c r="Q66" s="450">
        <f>Q64+(Q65-Q64)*'Project Assumptions'!$C$64</f>
        <v>5.2905976855400958</v>
      </c>
      <c r="R66" s="450">
        <f>R64+(R65-R64)*'Project Assumptions'!$C$64</f>
        <v>5.3155900795147328</v>
      </c>
      <c r="S66" s="450">
        <f>S64+(S65-S64)*'Project Assumptions'!$C$64</f>
        <v>5.3373204792108613</v>
      </c>
      <c r="T66" s="450">
        <f>T64+(T65-T64)*'Project Assumptions'!$C$64</f>
        <v>5.4619727381446896</v>
      </c>
      <c r="U66" s="450">
        <f>U64+(U65-U64)*'Project Assumptions'!$C$64</f>
        <v>5.5893005441832573</v>
      </c>
      <c r="V66" s="450">
        <f>V64+(V65-V64)*'Project Assumptions'!$C$64</f>
        <v>5.60647029095297</v>
      </c>
      <c r="W66" s="450">
        <f>W64+(W65-W64)*'Project Assumptions'!$C$64</f>
        <v>5.7359082627709439</v>
      </c>
      <c r="X66" s="778">
        <f>X64+(X65-X64)*'Project Assumptions'!$C$64</f>
        <v>5.86806668963614</v>
      </c>
    </row>
    <row r="67" spans="1:31" s="98" customFormat="1" ht="12.6" customHeight="1">
      <c r="A67" s="779"/>
      <c r="B67" s="179"/>
      <c r="C67" s="450"/>
      <c r="D67" s="450"/>
      <c r="E67" s="450"/>
      <c r="F67" s="450"/>
      <c r="G67" s="450"/>
      <c r="H67" s="450"/>
      <c r="I67" s="450"/>
      <c r="J67" s="450"/>
      <c r="K67" s="450"/>
      <c r="L67" s="450"/>
      <c r="M67" s="450"/>
      <c r="N67" s="450"/>
      <c r="O67" s="450"/>
      <c r="P67" s="450"/>
      <c r="Q67" s="450"/>
      <c r="R67" s="450"/>
      <c r="S67" s="450"/>
      <c r="T67" s="450"/>
      <c r="U67" s="450"/>
      <c r="V67" s="450"/>
      <c r="W67" s="450"/>
      <c r="X67" s="778"/>
      <c r="Y67" s="450"/>
      <c r="Z67" s="450"/>
      <c r="AA67" s="450"/>
      <c r="AB67" s="170"/>
      <c r="AC67" s="170"/>
      <c r="AD67" s="170"/>
    </row>
    <row r="68" spans="1:31" s="98" customFormat="1" ht="12.6" customHeight="1">
      <c r="A68" s="822" t="s">
        <v>643</v>
      </c>
      <c r="B68" s="179" t="s">
        <v>425</v>
      </c>
      <c r="C68" s="450"/>
      <c r="D68" s="481">
        <v>64</v>
      </c>
      <c r="E68" s="481">
        <v>62</v>
      </c>
      <c r="F68" s="481">
        <v>61</v>
      </c>
      <c r="G68" s="481">
        <v>59</v>
      </c>
      <c r="H68" s="481">
        <v>58</v>
      </c>
      <c r="I68" s="481">
        <v>57</v>
      </c>
      <c r="J68" s="481">
        <v>56</v>
      </c>
      <c r="K68" s="481">
        <v>56</v>
      </c>
      <c r="L68" s="481">
        <v>55</v>
      </c>
      <c r="M68" s="481">
        <v>55</v>
      </c>
      <c r="N68" s="481">
        <v>54</v>
      </c>
      <c r="O68" s="481">
        <v>54</v>
      </c>
      <c r="P68" s="481">
        <v>53</v>
      </c>
      <c r="Q68" s="481">
        <v>52</v>
      </c>
      <c r="R68" s="481">
        <v>51</v>
      </c>
      <c r="S68" s="481">
        <v>50</v>
      </c>
      <c r="T68" s="481">
        <v>49</v>
      </c>
      <c r="U68" s="481">
        <v>48</v>
      </c>
      <c r="V68" s="481">
        <v>47</v>
      </c>
      <c r="W68" s="481">
        <v>46</v>
      </c>
      <c r="X68" s="823">
        <v>45</v>
      </c>
      <c r="Y68" s="450"/>
      <c r="Z68" s="450"/>
      <c r="AA68" s="450"/>
      <c r="AB68" s="170"/>
      <c r="AC68" s="170"/>
      <c r="AD68" s="170"/>
    </row>
    <row r="69" spans="1:31" s="98" customFormat="1" ht="12.6" customHeight="1">
      <c r="A69" s="822" t="s">
        <v>644</v>
      </c>
      <c r="B69" s="179" t="s">
        <v>425</v>
      </c>
      <c r="C69" s="450"/>
      <c r="D69" s="481">
        <v>51</v>
      </c>
      <c r="E69" s="481">
        <v>52</v>
      </c>
      <c r="F69" s="481">
        <v>52</v>
      </c>
      <c r="G69" s="481">
        <v>52</v>
      </c>
      <c r="H69" s="481">
        <v>52</v>
      </c>
      <c r="I69" s="481">
        <v>52</v>
      </c>
      <c r="J69" s="481">
        <v>50</v>
      </c>
      <c r="K69" s="481">
        <v>48</v>
      </c>
      <c r="L69" s="481">
        <v>45</v>
      </c>
      <c r="M69" s="481">
        <v>43</v>
      </c>
      <c r="N69" s="481">
        <v>41</v>
      </c>
      <c r="O69" s="481">
        <v>40</v>
      </c>
      <c r="P69" s="481">
        <v>39</v>
      </c>
      <c r="Q69" s="481">
        <v>37</v>
      </c>
      <c r="R69" s="481">
        <v>36</v>
      </c>
      <c r="S69" s="481">
        <v>35</v>
      </c>
      <c r="T69" s="481">
        <v>35</v>
      </c>
      <c r="U69" s="481">
        <v>35</v>
      </c>
      <c r="V69" s="481">
        <v>34</v>
      </c>
      <c r="W69" s="481">
        <v>34</v>
      </c>
      <c r="X69" s="823">
        <v>34</v>
      </c>
      <c r="Y69" s="450"/>
      <c r="Z69" s="450"/>
      <c r="AA69" s="450"/>
      <c r="AB69" s="170"/>
      <c r="AC69" s="170"/>
      <c r="AD69" s="170"/>
    </row>
    <row r="70" spans="1:31" s="98" customFormat="1" ht="12.6" customHeight="1">
      <c r="A70" s="779"/>
      <c r="B70" s="179"/>
      <c r="C70" s="450"/>
      <c r="D70" s="450"/>
      <c r="E70" s="450"/>
      <c r="F70" s="450"/>
      <c r="G70" s="450"/>
      <c r="H70" s="450"/>
      <c r="I70" s="450"/>
      <c r="J70" s="482"/>
      <c r="K70" s="482"/>
      <c r="L70" s="482"/>
      <c r="M70" s="482"/>
      <c r="N70" s="482"/>
      <c r="O70" s="482"/>
      <c r="P70" s="482"/>
      <c r="Q70" s="482"/>
      <c r="R70" s="482"/>
      <c r="S70" s="482"/>
      <c r="T70" s="482"/>
      <c r="U70" s="482"/>
      <c r="V70" s="482"/>
      <c r="W70" s="482"/>
      <c r="X70" s="824"/>
      <c r="Y70" s="482"/>
      <c r="Z70" s="482"/>
      <c r="AA70" s="482"/>
      <c r="AB70" s="482"/>
      <c r="AC70" s="482"/>
      <c r="AD70" s="482"/>
      <c r="AE70" s="147"/>
    </row>
    <row r="71" spans="1:31" s="98" customFormat="1" ht="12.6" customHeight="1">
      <c r="A71" s="779"/>
      <c r="B71" s="179"/>
      <c r="C71" s="450"/>
      <c r="D71" s="450"/>
      <c r="E71" s="450"/>
      <c r="F71" s="450"/>
      <c r="G71" s="450"/>
      <c r="H71" s="450"/>
      <c r="I71" s="450"/>
      <c r="J71" s="450"/>
      <c r="K71" s="450"/>
      <c r="L71" s="450"/>
      <c r="M71" s="450"/>
      <c r="N71" s="450"/>
      <c r="O71" s="450"/>
      <c r="P71" s="450"/>
      <c r="Q71" s="450"/>
      <c r="R71" s="450"/>
      <c r="S71" s="450"/>
      <c r="T71" s="450"/>
      <c r="U71" s="450"/>
      <c r="V71" s="450"/>
      <c r="W71" s="450"/>
      <c r="X71" s="778"/>
      <c r="Y71" s="450"/>
      <c r="Z71" s="450"/>
      <c r="AA71" s="450"/>
      <c r="AB71" s="170"/>
      <c r="AC71" s="170"/>
      <c r="AD71" s="170"/>
    </row>
    <row r="72" spans="1:31" ht="12.6" customHeight="1">
      <c r="A72" s="781" t="s">
        <v>356</v>
      </c>
      <c r="B72" s="179"/>
      <c r="C72" s="241"/>
      <c r="D72" s="241"/>
      <c r="E72" s="241"/>
      <c r="F72" s="241"/>
      <c r="G72" s="241"/>
      <c r="H72" s="241"/>
      <c r="I72" s="241"/>
      <c r="J72" s="241"/>
      <c r="K72" s="241"/>
      <c r="L72" s="241"/>
      <c r="M72" s="241"/>
      <c r="N72" s="241"/>
      <c r="O72" s="241"/>
      <c r="P72" s="241"/>
      <c r="Q72" s="241"/>
      <c r="R72" s="241"/>
      <c r="S72" s="241"/>
      <c r="T72" s="241"/>
      <c r="U72" s="241"/>
      <c r="V72" s="241"/>
      <c r="W72" s="241"/>
      <c r="X72" s="807"/>
    </row>
    <row r="73" spans="1:31" s="7" customFormat="1" ht="12.6" customHeight="1">
      <c r="A73" s="652" t="s">
        <v>357</v>
      </c>
      <c r="B73" s="825">
        <f>'Project Assumptions'!H32:H32</f>
        <v>0.03</v>
      </c>
      <c r="C73" s="826">
        <f>D73/(1+B73)</f>
        <v>42.170774999999999</v>
      </c>
      <c r="D73" s="730">
        <f>D78*((1+$B$73)^3)</f>
        <v>43.435898250000001</v>
      </c>
      <c r="E73" s="730">
        <f t="shared" ref="E73:V73" si="16">E78*((1+$B$73)^3)</f>
        <v>46.364406610000003</v>
      </c>
      <c r="F73" s="730">
        <f t="shared" si="16"/>
        <v>49.489605830000002</v>
      </c>
      <c r="G73" s="730">
        <f t="shared" si="16"/>
        <v>52.822423180000001</v>
      </c>
      <c r="H73" s="730">
        <f t="shared" si="16"/>
        <v>56.373785930000004</v>
      </c>
      <c r="I73" s="730">
        <f t="shared" si="16"/>
        <v>60.176475889999999</v>
      </c>
      <c r="J73" s="730">
        <f t="shared" si="16"/>
        <v>60.668203040000002</v>
      </c>
      <c r="K73" s="730">
        <f t="shared" si="16"/>
        <v>61.159930189999997</v>
      </c>
      <c r="L73" s="730">
        <f t="shared" si="16"/>
        <v>61.662584610000003</v>
      </c>
      <c r="M73" s="730">
        <f t="shared" si="16"/>
        <v>62.165239030000002</v>
      </c>
      <c r="N73" s="730">
        <f t="shared" si="16"/>
        <v>62.678820719999997</v>
      </c>
      <c r="O73" s="730">
        <f t="shared" si="16"/>
        <v>60.263894049999998</v>
      </c>
      <c r="P73" s="730">
        <f t="shared" si="16"/>
        <v>57.958240079999996</v>
      </c>
      <c r="Q73" s="730">
        <f t="shared" si="16"/>
        <v>55.729077000000004</v>
      </c>
      <c r="R73" s="730">
        <f t="shared" si="16"/>
        <v>53.587332079999996</v>
      </c>
      <c r="S73" s="730">
        <f t="shared" si="16"/>
        <v>51.533005319999994</v>
      </c>
      <c r="T73" s="730">
        <f t="shared" si="16"/>
        <v>52.232350599999997</v>
      </c>
      <c r="U73" s="730">
        <f t="shared" si="16"/>
        <v>52.931695879999999</v>
      </c>
      <c r="V73" s="730">
        <f t="shared" si="16"/>
        <v>53.652895700000002</v>
      </c>
      <c r="W73" s="730"/>
      <c r="X73" s="827"/>
      <c r="Y73" s="452"/>
      <c r="Z73" s="452"/>
      <c r="AA73" s="452"/>
      <c r="AB73" s="186"/>
      <c r="AC73" s="186"/>
      <c r="AD73" s="186"/>
    </row>
    <row r="74" spans="1:31">
      <c r="A74" s="652" t="s">
        <v>387</v>
      </c>
      <c r="B74" s="179"/>
      <c r="C74" s="826">
        <f>D74/(1+B73)</f>
        <v>42.255646999999996</v>
      </c>
      <c r="D74" s="730">
        <f>D79*((1+$B$73)^3)</f>
        <v>43.52331641</v>
      </c>
      <c r="E74" s="730">
        <f t="shared" ref="E74:V74" si="17">E79*((1+$B$73)^3)</f>
        <v>46.255133909999998</v>
      </c>
      <c r="F74" s="730">
        <f t="shared" si="17"/>
        <v>49.150860459999997</v>
      </c>
      <c r="G74" s="730">
        <f t="shared" si="17"/>
        <v>52.232350599999997</v>
      </c>
      <c r="H74" s="730">
        <f t="shared" si="17"/>
        <v>55.5105316</v>
      </c>
      <c r="I74" s="730">
        <f t="shared" si="17"/>
        <v>58.985403459999993</v>
      </c>
      <c r="J74" s="730">
        <f t="shared" si="17"/>
        <v>59.378785180000001</v>
      </c>
      <c r="K74" s="730">
        <f t="shared" si="17"/>
        <v>59.772166900000002</v>
      </c>
      <c r="L74" s="730">
        <f t="shared" si="17"/>
        <v>60.176475889999999</v>
      </c>
      <c r="M74" s="730">
        <f t="shared" si="17"/>
        <v>60.580784879999996</v>
      </c>
      <c r="N74" s="730">
        <f t="shared" si="17"/>
        <v>60.98509387</v>
      </c>
      <c r="O74" s="730">
        <f t="shared" si="17"/>
        <v>57.870821920000004</v>
      </c>
      <c r="P74" s="730">
        <f t="shared" si="17"/>
        <v>54.909531749999999</v>
      </c>
      <c r="Q74" s="730">
        <f t="shared" si="17"/>
        <v>52.101223359999999</v>
      </c>
      <c r="R74" s="730">
        <f t="shared" si="17"/>
        <v>49.445896750000003</v>
      </c>
      <c r="S74" s="730">
        <f t="shared" si="17"/>
        <v>46.921697379999998</v>
      </c>
      <c r="T74" s="730">
        <f t="shared" si="17"/>
        <v>47.293224559999999</v>
      </c>
      <c r="U74" s="730">
        <f t="shared" si="17"/>
        <v>47.66475174</v>
      </c>
      <c r="V74" s="730">
        <f t="shared" si="17"/>
        <v>48.036278920000001</v>
      </c>
      <c r="W74" s="241"/>
      <c r="X74" s="807"/>
    </row>
    <row r="75" spans="1:31">
      <c r="A75" s="652" t="s">
        <v>385</v>
      </c>
      <c r="B75" s="179"/>
      <c r="C75" s="828">
        <v>0</v>
      </c>
      <c r="D75" s="828">
        <v>0</v>
      </c>
      <c r="E75" s="828">
        <v>0</v>
      </c>
      <c r="F75" s="828">
        <v>0</v>
      </c>
      <c r="G75" s="828">
        <v>0</v>
      </c>
      <c r="H75" s="828">
        <v>0</v>
      </c>
      <c r="I75" s="828">
        <v>0</v>
      </c>
      <c r="J75" s="828">
        <v>0</v>
      </c>
      <c r="K75" s="828">
        <v>0</v>
      </c>
      <c r="L75" s="828">
        <v>0</v>
      </c>
      <c r="M75" s="828">
        <v>0</v>
      </c>
      <c r="N75" s="828">
        <v>0</v>
      </c>
      <c r="O75" s="828">
        <v>0</v>
      </c>
      <c r="P75" s="828">
        <v>0</v>
      </c>
      <c r="Q75" s="828">
        <v>0</v>
      </c>
      <c r="R75" s="828">
        <v>0</v>
      </c>
      <c r="S75" s="828">
        <v>0</v>
      </c>
      <c r="T75" s="828">
        <v>0</v>
      </c>
      <c r="U75" s="828">
        <v>0</v>
      </c>
      <c r="V75" s="828">
        <v>0</v>
      </c>
      <c r="W75" s="241"/>
      <c r="X75" s="807"/>
    </row>
    <row r="76" spans="1:31">
      <c r="A76" s="652" t="s">
        <v>386</v>
      </c>
      <c r="B76" s="179"/>
      <c r="C76" s="730">
        <f>IF('Project Assumptions'!$C$66="yes",C25,C23)</f>
        <v>30.612399999999997</v>
      </c>
      <c r="D76" s="730">
        <f>IF('Project Assumptions'!$C$66="yes",D25,D23)</f>
        <v>30.61239999999999</v>
      </c>
      <c r="E76" s="730">
        <f>IF('Project Assumptions'!$C$66="yes",E25,E23)</f>
        <v>30.612399999999997</v>
      </c>
      <c r="F76" s="730">
        <f>IF('Project Assumptions'!$C$66="yes",F25,F23)</f>
        <v>30.612399999999997</v>
      </c>
      <c r="G76" s="730">
        <f>IF('Project Assumptions'!$C$66="yes",G25,G23)</f>
        <v>30.612399999999997</v>
      </c>
      <c r="H76" s="730">
        <f>IF('Project Assumptions'!$C$66="yes",H25,H23)</f>
        <v>30.61239999999999</v>
      </c>
      <c r="I76" s="730">
        <f>IF('Project Assumptions'!$C$66="yes",I25,I23)</f>
        <v>30.61239999999999</v>
      </c>
      <c r="J76" s="730">
        <f>IF('Project Assumptions'!$C$66="yes",J25,J23)</f>
        <v>30.61239999999999</v>
      </c>
      <c r="K76" s="730">
        <f>IF('Project Assumptions'!$C$66="yes",K25,K23)</f>
        <v>30.61239999999999</v>
      </c>
      <c r="L76" s="730">
        <f>IF('Project Assumptions'!$C$66="yes",L25,L23)</f>
        <v>30.61239999999999</v>
      </c>
      <c r="M76" s="730">
        <f>IF('Project Assumptions'!$C$66="yes",M25,M23)</f>
        <v>30.61239999999999</v>
      </c>
      <c r="N76" s="730">
        <f>IF('Project Assumptions'!$C$66="yes",N25,N23)</f>
        <v>30.61239999999999</v>
      </c>
      <c r="O76" s="730">
        <f>IF('Project Assumptions'!$C$66="yes",O25,O23)</f>
        <v>30.61239999999999</v>
      </c>
      <c r="P76" s="730">
        <f>IF('Project Assumptions'!$C$66="yes",P25,P23)</f>
        <v>30.61239999999999</v>
      </c>
      <c r="Q76" s="730">
        <f>IF('Project Assumptions'!$C$66="yes",Q25,Q23)</f>
        <v>30.61239999999999</v>
      </c>
      <c r="R76" s="730">
        <f>IF('Project Assumptions'!$C$66="yes",R25,R23)</f>
        <v>30.61239999999999</v>
      </c>
      <c r="S76" s="730">
        <f>IF('Project Assumptions'!$C$66="yes",S25,S23)</f>
        <v>30.61239999999999</v>
      </c>
      <c r="T76" s="730">
        <f>IF('Project Assumptions'!$C$66="yes",T25,T23)</f>
        <v>30.61239999999999</v>
      </c>
      <c r="U76" s="730">
        <f>IF('Project Assumptions'!$C$66="yes",U25,U23)</f>
        <v>30.61239999999999</v>
      </c>
      <c r="V76" s="730">
        <f>IF('Project Assumptions'!$C$66="yes",V25,V23)</f>
        <v>30.61239999999999</v>
      </c>
      <c r="W76" s="730"/>
      <c r="X76" s="807"/>
    </row>
    <row r="77" spans="1:31">
      <c r="A77" s="678"/>
      <c r="B77" s="179"/>
      <c r="C77" s="241"/>
      <c r="D77" s="241"/>
      <c r="E77" s="241"/>
      <c r="F77" s="241"/>
      <c r="G77" s="241"/>
      <c r="H77" s="241"/>
      <c r="I77" s="241"/>
      <c r="J77" s="241"/>
      <c r="K77" s="241"/>
      <c r="L77" s="241"/>
      <c r="M77" s="241"/>
      <c r="N77" s="241"/>
      <c r="O77" s="241"/>
      <c r="P77" s="241"/>
      <c r="Q77" s="241"/>
      <c r="R77" s="241"/>
      <c r="S77" s="241"/>
      <c r="T77" s="241"/>
      <c r="U77" s="241"/>
      <c r="V77" s="241"/>
      <c r="W77" s="241"/>
      <c r="X77" s="807"/>
    </row>
    <row r="78" spans="1:31" ht="14.25" customHeight="1" outlineLevel="1">
      <c r="A78" s="829" t="s">
        <v>645</v>
      </c>
      <c r="B78" s="179"/>
      <c r="C78" s="241"/>
      <c r="D78" s="828">
        <v>39.75</v>
      </c>
      <c r="E78" s="828">
        <v>42.43</v>
      </c>
      <c r="F78" s="828">
        <v>45.29</v>
      </c>
      <c r="G78" s="828">
        <v>48.34</v>
      </c>
      <c r="H78" s="828">
        <v>51.59</v>
      </c>
      <c r="I78" s="828">
        <v>55.07</v>
      </c>
      <c r="J78" s="828">
        <v>55.52</v>
      </c>
      <c r="K78" s="828">
        <v>55.97</v>
      </c>
      <c r="L78" s="828">
        <v>56.43</v>
      </c>
      <c r="M78" s="828">
        <v>56.89</v>
      </c>
      <c r="N78" s="828">
        <v>57.36</v>
      </c>
      <c r="O78" s="828">
        <v>55.15</v>
      </c>
      <c r="P78" s="828">
        <v>53.04</v>
      </c>
      <c r="Q78" s="828">
        <v>51</v>
      </c>
      <c r="R78" s="828">
        <v>49.04</v>
      </c>
      <c r="S78" s="828">
        <v>47.16</v>
      </c>
      <c r="T78" s="828">
        <v>47.8</v>
      </c>
      <c r="U78" s="828">
        <v>48.44</v>
      </c>
      <c r="V78" s="828">
        <v>49.1</v>
      </c>
      <c r="W78" s="241"/>
      <c r="X78" s="807"/>
    </row>
    <row r="79" spans="1:31" outlineLevel="1">
      <c r="A79" s="829" t="s">
        <v>646</v>
      </c>
      <c r="B79" s="241"/>
      <c r="C79" s="241"/>
      <c r="D79" s="828">
        <v>39.83</v>
      </c>
      <c r="E79" s="828">
        <v>42.33</v>
      </c>
      <c r="F79" s="828">
        <v>44.98</v>
      </c>
      <c r="G79" s="828">
        <v>47.8</v>
      </c>
      <c r="H79" s="828">
        <v>50.8</v>
      </c>
      <c r="I79" s="828">
        <v>53.98</v>
      </c>
      <c r="J79" s="828">
        <v>54.34</v>
      </c>
      <c r="K79" s="828">
        <v>54.7</v>
      </c>
      <c r="L79" s="828">
        <v>55.07</v>
      </c>
      <c r="M79" s="828">
        <v>55.44</v>
      </c>
      <c r="N79" s="828">
        <v>55.81</v>
      </c>
      <c r="O79" s="828">
        <v>52.96</v>
      </c>
      <c r="P79" s="828">
        <v>50.25</v>
      </c>
      <c r="Q79" s="828">
        <v>47.68</v>
      </c>
      <c r="R79" s="828">
        <v>45.25</v>
      </c>
      <c r="S79" s="828">
        <v>42.94</v>
      </c>
      <c r="T79" s="828">
        <v>43.28</v>
      </c>
      <c r="U79" s="828">
        <v>43.62</v>
      </c>
      <c r="V79" s="828">
        <v>43.96</v>
      </c>
      <c r="W79" s="241"/>
      <c r="X79" s="807"/>
    </row>
    <row r="80" spans="1:31" outlineLevel="1">
      <c r="A80" s="678"/>
      <c r="B80" s="241"/>
      <c r="C80" s="241"/>
      <c r="D80" s="828"/>
      <c r="E80" s="828"/>
      <c r="F80" s="828"/>
      <c r="G80" s="828"/>
      <c r="H80" s="828"/>
      <c r="I80" s="828"/>
      <c r="J80" s="828"/>
      <c r="K80" s="828"/>
      <c r="L80" s="828"/>
      <c r="M80" s="828"/>
      <c r="N80" s="828"/>
      <c r="O80" s="828"/>
      <c r="P80" s="828"/>
      <c r="Q80" s="828"/>
      <c r="R80" s="828"/>
      <c r="S80" s="828"/>
      <c r="T80" s="828"/>
      <c r="U80" s="828"/>
      <c r="V80" s="828"/>
      <c r="W80" s="241"/>
      <c r="X80" s="807"/>
    </row>
    <row r="81" spans="1:30" outlineLevel="1">
      <c r="A81" s="788" t="s">
        <v>358</v>
      </c>
      <c r="B81" s="632"/>
      <c r="C81" s="632"/>
      <c r="D81" s="727">
        <f t="shared" ref="D81:V81" si="18">D78-D79</f>
        <v>-7.9999999999998295E-2</v>
      </c>
      <c r="E81" s="727">
        <f t="shared" si="18"/>
        <v>0.10000000000000142</v>
      </c>
      <c r="F81" s="727">
        <f t="shared" si="18"/>
        <v>0.31000000000000227</v>
      </c>
      <c r="G81" s="727">
        <f t="shared" si="18"/>
        <v>0.54000000000000625</v>
      </c>
      <c r="H81" s="727">
        <f t="shared" si="18"/>
        <v>0.79000000000000625</v>
      </c>
      <c r="I81" s="727">
        <f t="shared" si="18"/>
        <v>1.0900000000000034</v>
      </c>
      <c r="J81" s="727">
        <f t="shared" si="18"/>
        <v>1.1799999999999997</v>
      </c>
      <c r="K81" s="727">
        <f t="shared" si="18"/>
        <v>1.269999999999996</v>
      </c>
      <c r="L81" s="727">
        <f t="shared" si="18"/>
        <v>1.3599999999999994</v>
      </c>
      <c r="M81" s="727">
        <f t="shared" si="18"/>
        <v>1.4500000000000028</v>
      </c>
      <c r="N81" s="727">
        <f t="shared" si="18"/>
        <v>1.5499999999999972</v>
      </c>
      <c r="O81" s="727">
        <f t="shared" si="18"/>
        <v>2.1899999999999977</v>
      </c>
      <c r="P81" s="727">
        <f t="shared" si="18"/>
        <v>2.7899999999999991</v>
      </c>
      <c r="Q81" s="727">
        <f t="shared" si="18"/>
        <v>3.3200000000000003</v>
      </c>
      <c r="R81" s="727">
        <f t="shared" si="18"/>
        <v>3.7899999999999991</v>
      </c>
      <c r="S81" s="727">
        <f t="shared" si="18"/>
        <v>4.2199999999999989</v>
      </c>
      <c r="T81" s="727">
        <f t="shared" si="18"/>
        <v>4.519999999999996</v>
      </c>
      <c r="U81" s="727">
        <f t="shared" si="18"/>
        <v>4.82</v>
      </c>
      <c r="V81" s="727">
        <f t="shared" si="18"/>
        <v>5.1400000000000006</v>
      </c>
      <c r="W81" s="632"/>
      <c r="X81" s="633"/>
    </row>
    <row r="82" spans="1:30" outlineLevel="1"/>
    <row r="83" spans="1:30" ht="12.6" customHeight="1" outlineLevel="1"/>
    <row r="84" spans="1:30" outlineLevel="1"/>
    <row r="85" spans="1:30" s="98" customFormat="1" ht="12.6" customHeight="1" outlineLevel="1">
      <c r="A85" s="170"/>
      <c r="B85" s="199"/>
      <c r="C85" s="450"/>
      <c r="D85" s="450"/>
      <c r="E85" s="450"/>
      <c r="F85" s="450"/>
      <c r="G85" s="450"/>
      <c r="H85" s="450"/>
      <c r="I85" s="450"/>
      <c r="J85" s="450"/>
      <c r="K85" s="450"/>
      <c r="L85" s="450"/>
      <c r="M85" s="450"/>
      <c r="N85" s="450"/>
      <c r="O85" s="450"/>
      <c r="P85" s="450"/>
      <c r="Q85" s="450"/>
      <c r="R85" s="450"/>
      <c r="S85" s="450"/>
      <c r="T85" s="450"/>
      <c r="U85" s="450"/>
      <c r="V85" s="450"/>
      <c r="W85" s="450"/>
      <c r="X85" s="450"/>
      <c r="Y85" s="450"/>
      <c r="Z85" s="450"/>
      <c r="AA85" s="450"/>
      <c r="AB85" s="170"/>
      <c r="AC85" s="170"/>
      <c r="AD85" s="170"/>
    </row>
    <row r="86" spans="1:30" s="98" customFormat="1" ht="12.6" customHeight="1" outlineLevel="1">
      <c r="A86" s="169"/>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0"/>
      <c r="AD86" s="170"/>
    </row>
    <row r="87" spans="1:30" outlineLevel="1"/>
    <row r="88" spans="1:30" outlineLevel="1"/>
    <row r="89" spans="1:30" outlineLevel="1"/>
    <row r="90" spans="1:30" outlineLevel="1"/>
    <row r="91" spans="1:30" outlineLevel="1"/>
    <row r="92" spans="1:30" outlineLevel="1"/>
    <row r="93" spans="1:30" outlineLevel="1"/>
    <row r="94" spans="1:30" outlineLevel="1"/>
    <row r="95" spans="1:30" outlineLevel="1"/>
    <row r="96" spans="1:30" outlineLevel="1"/>
    <row r="97" outlineLevel="1"/>
    <row r="98" outlineLevel="1"/>
    <row r="99" outlineLevel="1"/>
    <row r="100" outlineLevel="1"/>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5" footer="0.5"/>
  <pageSetup scale="43" pageOrder="overThenDown" orientation="landscape" r:id="rId3"/>
  <headerFooter alignWithMargins="0">
    <oddFooter>&amp;L&amp;D   &amp;T&amp;R&amp;F,&amp;A
Page &amp;P</oddFooter>
  </headerFooter>
  <drawing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S72"/>
  <sheetViews>
    <sheetView topLeftCell="I1" workbookViewId="0">
      <selection activeCell="W17" sqref="W17"/>
    </sheetView>
  </sheetViews>
  <sheetFormatPr defaultRowHeight="12.75"/>
  <cols>
    <col min="1" max="1" width="18.7109375" style="163" customWidth="1"/>
    <col min="2" max="2" width="8" style="163" customWidth="1"/>
    <col min="3" max="3" width="10.42578125" style="163" bestFit="1" customWidth="1"/>
    <col min="4" max="24" width="9.140625" style="163"/>
  </cols>
  <sheetData>
    <row r="1" spans="1:227" ht="20.25">
      <c r="A1" s="634" t="str">
        <f>'Project Assumptions'!$A$2</f>
        <v>CALEDONIA, Lowndes County, MS</v>
      </c>
      <c r="B1" s="635"/>
      <c r="C1" s="635"/>
      <c r="D1" s="635"/>
      <c r="E1" s="636"/>
    </row>
    <row r="2" spans="1:227">
      <c r="A2" s="637" t="s">
        <v>6</v>
      </c>
      <c r="B2" s="638"/>
      <c r="C2" s="638"/>
      <c r="D2" s="638"/>
      <c r="E2" s="639"/>
    </row>
    <row r="3" spans="1:227" s="1" customFormat="1" ht="12.6" customHeight="1">
      <c r="A3" s="417"/>
      <c r="B3" s="163"/>
      <c r="C3" s="184">
        <f>'Book Income Statement'!D3</f>
        <v>1</v>
      </c>
      <c r="D3" s="184">
        <f>'Book Income Statement'!E3</f>
        <v>2</v>
      </c>
      <c r="E3" s="184">
        <f>'Book Income Statement'!F3</f>
        <v>3</v>
      </c>
      <c r="F3" s="184">
        <f>'Book Income Statement'!G3</f>
        <v>4</v>
      </c>
      <c r="G3" s="184">
        <f>'Book Income Statement'!H3</f>
        <v>5</v>
      </c>
      <c r="H3" s="184">
        <f>'Book Income Statement'!I3</f>
        <v>6</v>
      </c>
      <c r="I3" s="188">
        <f>'Book Income Statement'!J3</f>
        <v>7</v>
      </c>
      <c r="J3" s="184">
        <f>'Book Income Statement'!K3</f>
        <v>8</v>
      </c>
      <c r="K3" s="184">
        <f>'Book Income Statement'!L3</f>
        <v>9</v>
      </c>
      <c r="L3" s="184">
        <f>'Book Income Statement'!M3</f>
        <v>10</v>
      </c>
      <c r="M3" s="184">
        <f>'Book Income Statement'!N3</f>
        <v>11</v>
      </c>
      <c r="N3" s="184">
        <f>'Book Income Statement'!O3</f>
        <v>12</v>
      </c>
      <c r="O3" s="188">
        <f>'Book Income Statement'!P3</f>
        <v>13</v>
      </c>
      <c r="P3" s="184">
        <f>'Book Income Statement'!Q3</f>
        <v>14</v>
      </c>
      <c r="Q3" s="184">
        <f>'Book Income Statement'!R3</f>
        <v>15</v>
      </c>
      <c r="R3" s="184">
        <f>'Book Income Statement'!S3</f>
        <v>16</v>
      </c>
      <c r="S3" s="184">
        <f>'Book Income Statement'!T3</f>
        <v>17</v>
      </c>
      <c r="T3" s="184">
        <f>'Book Income Statement'!U3</f>
        <v>18</v>
      </c>
      <c r="U3" s="188">
        <f>'Book Income Statement'!V3</f>
        <v>19</v>
      </c>
      <c r="V3" s="184">
        <f>'Book Income Statement'!W3</f>
        <v>20</v>
      </c>
      <c r="W3" s="184">
        <f>'Book Income Statement'!X3</f>
        <v>21</v>
      </c>
      <c r="X3" s="184"/>
      <c r="Z3" s="2"/>
      <c r="AB3" s="9"/>
      <c r="AC3"/>
    </row>
    <row r="4" spans="1:227" s="1" customFormat="1" ht="12.6" customHeight="1">
      <c r="A4" s="830"/>
      <c r="B4" s="642"/>
      <c r="C4" s="831">
        <f>'Book Income Statement'!D4</f>
        <v>1999</v>
      </c>
      <c r="D4" s="831">
        <f>'Book Income Statement'!E4</f>
        <v>2000</v>
      </c>
      <c r="E4" s="831">
        <f>'Book Income Statement'!F4</f>
        <v>2001</v>
      </c>
      <c r="F4" s="831">
        <f>'Book Income Statement'!G4</f>
        <v>2002</v>
      </c>
      <c r="G4" s="831">
        <f>'Book Income Statement'!H4</f>
        <v>2003</v>
      </c>
      <c r="H4" s="831">
        <f>'Book Income Statement'!I4</f>
        <v>2004</v>
      </c>
      <c r="I4" s="831">
        <f>'Book Income Statement'!J4</f>
        <v>2005</v>
      </c>
      <c r="J4" s="831">
        <f>'Book Income Statement'!K4</f>
        <v>2006</v>
      </c>
      <c r="K4" s="831">
        <f>'Book Income Statement'!L4</f>
        <v>2007</v>
      </c>
      <c r="L4" s="831">
        <f>'Book Income Statement'!M4</f>
        <v>2008</v>
      </c>
      <c r="M4" s="831">
        <f>'Book Income Statement'!N4</f>
        <v>2009</v>
      </c>
      <c r="N4" s="831">
        <f>'Book Income Statement'!O4</f>
        <v>2010</v>
      </c>
      <c r="O4" s="831">
        <f>'Book Income Statement'!P4</f>
        <v>2011</v>
      </c>
      <c r="P4" s="831">
        <f>'Book Income Statement'!Q4</f>
        <v>2012</v>
      </c>
      <c r="Q4" s="831">
        <f>'Book Income Statement'!R4</f>
        <v>2013</v>
      </c>
      <c r="R4" s="831">
        <f>'Book Income Statement'!S4</f>
        <v>2014</v>
      </c>
      <c r="S4" s="831">
        <f>'Book Income Statement'!T4</f>
        <v>2015</v>
      </c>
      <c r="T4" s="831">
        <f>'Book Income Statement'!U4</f>
        <v>2016</v>
      </c>
      <c r="U4" s="831">
        <f>'Book Income Statement'!V4</f>
        <v>2017</v>
      </c>
      <c r="V4" s="831">
        <f>'Book Income Statement'!W4</f>
        <v>2018</v>
      </c>
      <c r="W4" s="832">
        <f>'Book Income Statement'!X4</f>
        <v>2019</v>
      </c>
      <c r="X4" s="189"/>
      <c r="Y4" s="39"/>
      <c r="Z4" s="39"/>
      <c r="AA4" s="39"/>
      <c r="AB4" s="39"/>
      <c r="AC4"/>
      <c r="AD4" s="39"/>
      <c r="AE4" s="39"/>
      <c r="AF4" s="39"/>
      <c r="AG4" s="39"/>
      <c r="AH4" s="39"/>
      <c r="AI4" s="39"/>
      <c r="AJ4" s="39"/>
      <c r="AK4" s="39"/>
      <c r="AL4" s="39"/>
      <c r="AM4" s="39"/>
      <c r="AN4" s="39"/>
      <c r="AO4" s="39"/>
      <c r="AP4" s="39"/>
      <c r="AQ4" s="39"/>
      <c r="AR4" s="39"/>
      <c r="AS4" s="39"/>
      <c r="AT4" s="39"/>
      <c r="AU4" s="39"/>
      <c r="AV4" s="39"/>
      <c r="AW4" s="39"/>
      <c r="AX4" s="39"/>
      <c r="AY4" s="39"/>
    </row>
    <row r="5" spans="1:227" s="101" customFormat="1" ht="15.75">
      <c r="A5" s="781" t="s">
        <v>676</v>
      </c>
      <c r="B5" s="440"/>
      <c r="C5" s="440"/>
      <c r="D5" s="440"/>
      <c r="E5" s="440"/>
      <c r="F5" s="440"/>
      <c r="G5" s="440"/>
      <c r="H5" s="440"/>
      <c r="I5" s="440"/>
      <c r="J5" s="440"/>
      <c r="K5" s="440"/>
      <c r="L5" s="440"/>
      <c r="M5" s="440"/>
      <c r="N5" s="440"/>
      <c r="O5" s="440"/>
      <c r="P5" s="440"/>
      <c r="Q5" s="440"/>
      <c r="R5" s="440"/>
      <c r="S5" s="440"/>
      <c r="T5" s="440"/>
      <c r="U5" s="440"/>
      <c r="V5" s="440"/>
      <c r="W5" s="796"/>
      <c r="X5" s="440"/>
      <c r="Y5" s="102"/>
      <c r="Z5" s="102"/>
    </row>
    <row r="6" spans="1:227" s="3" customFormat="1" ht="12.6" customHeight="1">
      <c r="A6" s="652" t="s">
        <v>94</v>
      </c>
      <c r="B6" s="646"/>
      <c r="C6" s="833">
        <v>0</v>
      </c>
      <c r="D6" s="833">
        <v>0</v>
      </c>
      <c r="E6" s="833">
        <v>0</v>
      </c>
      <c r="F6" s="833">
        <v>0</v>
      </c>
      <c r="G6" s="833">
        <v>0</v>
      </c>
      <c r="H6" s="833">
        <v>0</v>
      </c>
      <c r="I6" s="833">
        <v>0</v>
      </c>
      <c r="J6" s="833">
        <v>0</v>
      </c>
      <c r="K6" s="833">
        <v>0</v>
      </c>
      <c r="L6" s="833">
        <v>0</v>
      </c>
      <c r="M6" s="833">
        <v>0</v>
      </c>
      <c r="N6" s="833">
        <v>0</v>
      </c>
      <c r="O6" s="833">
        <v>0</v>
      </c>
      <c r="P6" s="833">
        <v>0</v>
      </c>
      <c r="Q6" s="833">
        <v>0</v>
      </c>
      <c r="R6" s="833">
        <v>0</v>
      </c>
      <c r="S6" s="833">
        <v>0</v>
      </c>
      <c r="T6" s="833">
        <v>0</v>
      </c>
      <c r="U6" s="833">
        <v>0</v>
      </c>
      <c r="V6" s="833">
        <v>0</v>
      </c>
      <c r="W6" s="834">
        <v>0</v>
      </c>
      <c r="X6" s="483"/>
      <c r="Y6" s="104"/>
      <c r="Z6" s="104"/>
    </row>
    <row r="7" spans="1:227" s="3" customFormat="1" ht="12.6" customHeight="1">
      <c r="A7" s="652" t="s">
        <v>95</v>
      </c>
      <c r="B7" s="646"/>
      <c r="C7" s="833">
        <v>0</v>
      </c>
      <c r="D7" s="833">
        <v>0</v>
      </c>
      <c r="E7" s="833">
        <v>0</v>
      </c>
      <c r="F7" s="833">
        <v>0</v>
      </c>
      <c r="G7" s="833">
        <v>0</v>
      </c>
      <c r="H7" s="833">
        <v>0</v>
      </c>
      <c r="I7" s="833">
        <v>0</v>
      </c>
      <c r="J7" s="833">
        <v>0</v>
      </c>
      <c r="K7" s="833">
        <v>0</v>
      </c>
      <c r="L7" s="833">
        <v>0</v>
      </c>
      <c r="M7" s="833">
        <v>0</v>
      </c>
      <c r="N7" s="833">
        <v>0</v>
      </c>
      <c r="O7" s="833">
        <v>0</v>
      </c>
      <c r="P7" s="833">
        <v>0</v>
      </c>
      <c r="Q7" s="833">
        <v>0</v>
      </c>
      <c r="R7" s="833">
        <v>0</v>
      </c>
      <c r="S7" s="833">
        <v>0</v>
      </c>
      <c r="T7" s="833">
        <v>0</v>
      </c>
      <c r="U7" s="833">
        <v>0</v>
      </c>
      <c r="V7" s="833">
        <v>0</v>
      </c>
      <c r="W7" s="834">
        <v>0</v>
      </c>
      <c r="X7" s="483"/>
      <c r="Y7" s="104"/>
      <c r="Z7" s="104"/>
    </row>
    <row r="8" spans="1:227" s="3" customFormat="1" ht="12.6" customHeight="1">
      <c r="A8" s="652" t="s">
        <v>84</v>
      </c>
      <c r="B8" s="646"/>
      <c r="C8" s="654">
        <f>IF(C4=YEAR(EVAP_Date),NetMW_New*(1-C6)*(1-MONTH(EVAP_Date)/12)+NetMW*(MONTH(EVAP_Date)/12),IF(C4&gt;=YEAR(EVAP_Date),NetMW_New*(1-C6),NetMW*(1-C6)))</f>
        <v>442</v>
      </c>
      <c r="D8" s="654">
        <f t="shared" ref="D8:W8" si="0">IF(D4=YEAR(EVAP_Date),NetMW_New*(1-D6)*(1-MONTH(EVAP_Date)/12)+NetMW*(MONTH(EVAP_Date)/12),IF(D4&gt;=YEAR(EVAP_Date),NetMW_New*(1-D6),NetMW*(1-D6)))</f>
        <v>450.75</v>
      </c>
      <c r="E8" s="654">
        <f t="shared" si="0"/>
        <v>457</v>
      </c>
      <c r="F8" s="654">
        <f t="shared" si="0"/>
        <v>457</v>
      </c>
      <c r="G8" s="654">
        <f t="shared" si="0"/>
        <v>457</v>
      </c>
      <c r="H8" s="654">
        <f t="shared" si="0"/>
        <v>457</v>
      </c>
      <c r="I8" s="654">
        <f t="shared" si="0"/>
        <v>457</v>
      </c>
      <c r="J8" s="654">
        <f t="shared" si="0"/>
        <v>457</v>
      </c>
      <c r="K8" s="654">
        <f t="shared" si="0"/>
        <v>457</v>
      </c>
      <c r="L8" s="654">
        <f t="shared" si="0"/>
        <v>457</v>
      </c>
      <c r="M8" s="654">
        <f t="shared" si="0"/>
        <v>457</v>
      </c>
      <c r="N8" s="654">
        <f t="shared" si="0"/>
        <v>457</v>
      </c>
      <c r="O8" s="654">
        <f t="shared" si="0"/>
        <v>457</v>
      </c>
      <c r="P8" s="654">
        <f t="shared" si="0"/>
        <v>457</v>
      </c>
      <c r="Q8" s="654">
        <f t="shared" si="0"/>
        <v>457</v>
      </c>
      <c r="R8" s="654">
        <f t="shared" si="0"/>
        <v>457</v>
      </c>
      <c r="S8" s="654">
        <f t="shared" si="0"/>
        <v>457</v>
      </c>
      <c r="T8" s="654">
        <f t="shared" si="0"/>
        <v>457</v>
      </c>
      <c r="U8" s="654">
        <f t="shared" si="0"/>
        <v>457</v>
      </c>
      <c r="V8" s="654">
        <f t="shared" si="0"/>
        <v>457</v>
      </c>
      <c r="W8" s="655">
        <f t="shared" si="0"/>
        <v>457</v>
      </c>
      <c r="X8" s="186"/>
      <c r="Y8" s="7"/>
      <c r="Z8" s="7"/>
    </row>
    <row r="9" spans="1:227" s="3" customFormat="1" ht="12.6" customHeight="1">
      <c r="A9" s="652"/>
      <c r="B9" s="646"/>
      <c r="C9" s="654"/>
      <c r="D9" s="654"/>
      <c r="E9" s="654"/>
      <c r="F9" s="654"/>
      <c r="G9" s="654"/>
      <c r="H9" s="654"/>
      <c r="I9" s="654"/>
      <c r="J9" s="654"/>
      <c r="K9" s="654"/>
      <c r="L9" s="654"/>
      <c r="M9" s="654"/>
      <c r="N9" s="654"/>
      <c r="O9" s="654"/>
      <c r="P9" s="654"/>
      <c r="Q9" s="654"/>
      <c r="R9" s="654"/>
      <c r="S9" s="654"/>
      <c r="T9" s="654"/>
      <c r="U9" s="654"/>
      <c r="V9" s="654"/>
      <c r="W9" s="655"/>
      <c r="X9" s="186"/>
      <c r="Y9" s="7"/>
      <c r="Z9" s="7"/>
    </row>
    <row r="10" spans="1:227" s="3" customFormat="1" ht="12.6" customHeight="1">
      <c r="A10" s="652" t="s">
        <v>665</v>
      </c>
      <c r="B10" s="646"/>
      <c r="C10" s="654">
        <f>IF(C3&gt;ProjectLife+1,0,C8)</f>
        <v>442</v>
      </c>
      <c r="D10" s="654">
        <f>IF(D3&gt;ProjectLife+1,0,D8*'PPA Assumptions &amp; Summary'!D7/12)</f>
        <v>450.75</v>
      </c>
      <c r="E10" s="654">
        <f>IF(E3&gt;ProjectLife+1,0,E8*'PPA Assumptions &amp; Summary'!E7/12)</f>
        <v>457</v>
      </c>
      <c r="F10" s="654">
        <f>IF(F3&gt;ProjectLife+1,0,F8*'PPA Assumptions &amp; Summary'!F7/12)</f>
        <v>457</v>
      </c>
      <c r="G10" s="654">
        <f>IF(G3&gt;ProjectLife+1,0,G8*'PPA Assumptions &amp; Summary'!G7/12)</f>
        <v>190.41666666666666</v>
      </c>
      <c r="H10" s="654">
        <f>IF(H3&gt;ProjectLife+1,0,H8*'PPA Assumptions &amp; Summary'!H7/12)</f>
        <v>0</v>
      </c>
      <c r="I10" s="654">
        <f>IF(I3&gt;ProjectLife+1,0,I8*'PPA Assumptions &amp; Summary'!I7/12)</f>
        <v>0</v>
      </c>
      <c r="J10" s="654">
        <f>IF(J3&gt;ProjectLife+1,0,J8*'PPA Assumptions &amp; Summary'!J7/12)</f>
        <v>0</v>
      </c>
      <c r="K10" s="654">
        <f>IF(K3&gt;ProjectLife+1,0,K8*'PPA Assumptions &amp; Summary'!K7/12)</f>
        <v>0</v>
      </c>
      <c r="L10" s="654">
        <f>IF(L3&gt;ProjectLife+1,0,L8*'PPA Assumptions &amp; Summary'!L7/12)</f>
        <v>0</v>
      </c>
      <c r="M10" s="654">
        <f>IF(M3&gt;ProjectLife+1,0,M8*'PPA Assumptions &amp; Summary'!M7/12)</f>
        <v>0</v>
      </c>
      <c r="N10" s="654">
        <f>IF(N3&gt;ProjectLife+1,0,N8*'PPA Assumptions &amp; Summary'!N7/12)</f>
        <v>0</v>
      </c>
      <c r="O10" s="654">
        <f>IF(O3&gt;ProjectLife+1,0,O8*'PPA Assumptions &amp; Summary'!O7/12)</f>
        <v>0</v>
      </c>
      <c r="P10" s="654">
        <f>IF(P3&gt;ProjectLife+1,0,P8*'PPA Assumptions &amp; Summary'!P7/12)</f>
        <v>0</v>
      </c>
      <c r="Q10" s="654">
        <f>IF(Q3&gt;ProjectLife+1,0,Q8*'PPA Assumptions &amp; Summary'!Q7/12)</f>
        <v>0</v>
      </c>
      <c r="R10" s="654">
        <f>IF(R3&gt;ProjectLife+1,0,R8*'PPA Assumptions &amp; Summary'!R7/12)</f>
        <v>0</v>
      </c>
      <c r="S10" s="654">
        <f>IF(S3&gt;ProjectLife+1,0,S8*'PPA Assumptions &amp; Summary'!S7/12)</f>
        <v>0</v>
      </c>
      <c r="T10" s="654">
        <f>IF(T3&gt;ProjectLife+1,0,T8*'PPA Assumptions &amp; Summary'!T7/12)</f>
        <v>0</v>
      </c>
      <c r="U10" s="654">
        <f>IF(U3&gt;ProjectLife+1,0,U8*'PPA Assumptions &amp; Summary'!U7/12)</f>
        <v>0</v>
      </c>
      <c r="V10" s="654">
        <f>IF(V3&gt;ProjectLife+1,0,V8*'PPA Assumptions &amp; Summary'!V7/12)</f>
        <v>0</v>
      </c>
      <c r="W10" s="655">
        <f>IF(W3&gt;ProjectLife+1,0,W8*'PPA Assumptions &amp; Summary'!W7/12)</f>
        <v>0</v>
      </c>
      <c r="X10" s="186"/>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row>
    <row r="11" spans="1:227" s="3" customFormat="1" ht="12.6" customHeight="1">
      <c r="A11" s="652" t="s">
        <v>85</v>
      </c>
      <c r="B11" s="646"/>
      <c r="C11" s="801">
        <f>IF(C3&gt;ProjectLife,0,'Project Assumptions'!$I$15)</f>
        <v>1200</v>
      </c>
      <c r="D11" s="801">
        <f>IF(D3&gt;ProjectLife,0,'Project Assumptions'!$I$15)</f>
        <v>1200</v>
      </c>
      <c r="E11" s="801">
        <f>IF(E3&gt;ProjectLife,0,'Project Assumptions'!$I$15)</f>
        <v>1200</v>
      </c>
      <c r="F11" s="801">
        <f>IF(F3&gt;ProjectLife,0,'Project Assumptions'!$I$15)</f>
        <v>1200</v>
      </c>
      <c r="G11" s="801">
        <f>IF(G3&gt;ProjectLife,0,'Project Assumptions'!$I$15)</f>
        <v>1200</v>
      </c>
      <c r="H11" s="801">
        <f>IF(H3&gt;ProjectLife,0,'Project Assumptions'!$I$15)</f>
        <v>1200</v>
      </c>
      <c r="I11" s="801">
        <f>IF(I3&gt;ProjectLife,0,'Project Assumptions'!$I$15)</f>
        <v>1200</v>
      </c>
      <c r="J11" s="801">
        <f>IF(J3&gt;ProjectLife,0,'Project Assumptions'!$I$15)</f>
        <v>1200</v>
      </c>
      <c r="K11" s="801">
        <f>IF(K3&gt;ProjectLife,0,'Project Assumptions'!$I$15)</f>
        <v>1200</v>
      </c>
      <c r="L11" s="801">
        <f>IF(L3&gt;ProjectLife,0,'Project Assumptions'!$I$15)</f>
        <v>1200</v>
      </c>
      <c r="M11" s="801">
        <f>IF(M3&gt;ProjectLife,0,'Project Assumptions'!$I$15)</f>
        <v>1200</v>
      </c>
      <c r="N11" s="801">
        <f>IF(N3&gt;ProjectLife,0,'Project Assumptions'!$I$15)</f>
        <v>1200</v>
      </c>
      <c r="O11" s="801">
        <f>IF(O3&gt;ProjectLife,0,'Project Assumptions'!$I$15)</f>
        <v>1200</v>
      </c>
      <c r="P11" s="801">
        <f>IF(P3&gt;ProjectLife,0,'Project Assumptions'!$I$15)</f>
        <v>1200</v>
      </c>
      <c r="Q11" s="801">
        <f>IF(Q3&gt;ProjectLife,0,'Project Assumptions'!$I$15)</f>
        <v>1200</v>
      </c>
      <c r="R11" s="801">
        <f>IF(R3&gt;ProjectLife,0,'Project Assumptions'!$I$15)</f>
        <v>1200</v>
      </c>
      <c r="S11" s="801">
        <f>IF(S3&gt;ProjectLife,0,'Project Assumptions'!$I$15)</f>
        <v>1200</v>
      </c>
      <c r="T11" s="801">
        <f>IF(T3&gt;ProjectLife,0,'Project Assumptions'!$I$15)</f>
        <v>1200</v>
      </c>
      <c r="U11" s="801">
        <f>IF(U3&gt;ProjectLife,0,'Project Assumptions'!$I$15)</f>
        <v>1200</v>
      </c>
      <c r="V11" s="801">
        <f>IF(V3&gt;ProjectLife,0,'Project Assumptions'!$I$15)</f>
        <v>1200</v>
      </c>
      <c r="W11" s="802">
        <f>IF(W3&gt;ProjectLife+1,0,'Project Assumptions'!$I$15)</f>
        <v>1200</v>
      </c>
      <c r="X11" s="402"/>
      <c r="Y11" s="93"/>
      <c r="Z11" s="93"/>
    </row>
    <row r="12" spans="1:227" s="3" customFormat="1" ht="12.6" customHeight="1">
      <c r="A12" s="788" t="s">
        <v>136</v>
      </c>
      <c r="B12" s="835"/>
      <c r="C12" s="836">
        <f>IF(C3&gt;ProjectLife+1,0,C11*(C10))</f>
        <v>530400</v>
      </c>
      <c r="D12" s="836">
        <f t="shared" ref="D12:W12" si="1">IF(D3&gt;ProjectLife+1,0,D11*(D10))</f>
        <v>540900</v>
      </c>
      <c r="E12" s="836">
        <f t="shared" si="1"/>
        <v>548400</v>
      </c>
      <c r="F12" s="836">
        <f t="shared" si="1"/>
        <v>548400</v>
      </c>
      <c r="G12" s="836">
        <f t="shared" si="1"/>
        <v>228500</v>
      </c>
      <c r="H12" s="836">
        <f t="shared" si="1"/>
        <v>0</v>
      </c>
      <c r="I12" s="836">
        <f t="shared" si="1"/>
        <v>0</v>
      </c>
      <c r="J12" s="836">
        <f t="shared" si="1"/>
        <v>0</v>
      </c>
      <c r="K12" s="836">
        <f t="shared" si="1"/>
        <v>0</v>
      </c>
      <c r="L12" s="836">
        <f t="shared" si="1"/>
        <v>0</v>
      </c>
      <c r="M12" s="836">
        <f t="shared" si="1"/>
        <v>0</v>
      </c>
      <c r="N12" s="836">
        <f t="shared" si="1"/>
        <v>0</v>
      </c>
      <c r="O12" s="836">
        <f t="shared" si="1"/>
        <v>0</v>
      </c>
      <c r="P12" s="836">
        <f t="shared" si="1"/>
        <v>0</v>
      </c>
      <c r="Q12" s="836">
        <f t="shared" si="1"/>
        <v>0</v>
      </c>
      <c r="R12" s="836">
        <f t="shared" si="1"/>
        <v>0</v>
      </c>
      <c r="S12" s="836">
        <f t="shared" si="1"/>
        <v>0</v>
      </c>
      <c r="T12" s="836">
        <f t="shared" si="1"/>
        <v>0</v>
      </c>
      <c r="U12" s="836">
        <f t="shared" si="1"/>
        <v>0</v>
      </c>
      <c r="V12" s="836">
        <f t="shared" si="1"/>
        <v>0</v>
      </c>
      <c r="W12" s="1170">
        <f t="shared" si="1"/>
        <v>0</v>
      </c>
      <c r="X12" s="185"/>
      <c r="Y12" s="105"/>
      <c r="Z12" s="105"/>
    </row>
    <row r="13" spans="1:227" s="3" customFormat="1" ht="12.6" customHeight="1">
      <c r="A13" s="1161"/>
      <c r="B13" s="646"/>
      <c r="C13" s="799"/>
      <c r="D13" s="799"/>
      <c r="E13" s="799"/>
      <c r="F13" s="799"/>
      <c r="G13" s="799"/>
      <c r="H13" s="799"/>
      <c r="I13" s="799"/>
      <c r="J13" s="799"/>
      <c r="K13" s="799"/>
      <c r="L13" s="799"/>
      <c r="M13" s="799"/>
      <c r="N13" s="799"/>
      <c r="O13" s="799"/>
      <c r="P13" s="799"/>
      <c r="Q13" s="799"/>
      <c r="R13" s="799"/>
      <c r="S13" s="799"/>
      <c r="T13" s="799"/>
      <c r="U13" s="799"/>
      <c r="V13" s="799"/>
      <c r="W13" s="799"/>
      <c r="X13" s="185"/>
      <c r="Y13" s="105"/>
      <c r="Z13" s="105"/>
    </row>
    <row r="14" spans="1:227" s="3" customFormat="1" ht="12.6" customHeight="1">
      <c r="A14" s="792" t="s">
        <v>675</v>
      </c>
      <c r="B14" s="793"/>
      <c r="C14" s="793"/>
      <c r="D14" s="793"/>
      <c r="E14" s="793"/>
      <c r="F14" s="793"/>
      <c r="G14" s="793"/>
      <c r="H14" s="793"/>
      <c r="I14" s="793"/>
      <c r="J14" s="793"/>
      <c r="K14" s="793"/>
      <c r="L14" s="793"/>
      <c r="M14" s="793"/>
      <c r="N14" s="793"/>
      <c r="O14" s="793"/>
      <c r="P14" s="793"/>
      <c r="Q14" s="793"/>
      <c r="R14" s="793"/>
      <c r="S14" s="793"/>
      <c r="T14" s="793"/>
      <c r="U14" s="793"/>
      <c r="V14" s="793"/>
      <c r="W14" s="794"/>
      <c r="X14" s="185"/>
      <c r="Y14" s="105"/>
      <c r="Z14" s="105"/>
    </row>
    <row r="15" spans="1:227" s="3" customFormat="1" ht="12.6" customHeight="1">
      <c r="A15" s="652" t="s">
        <v>94</v>
      </c>
      <c r="B15" s="646"/>
      <c r="C15" s="1142">
        <f>Deg_Rate</f>
        <v>0.02</v>
      </c>
      <c r="D15" s="1142">
        <f t="shared" ref="D15:W15" si="2">Deg_Rate</f>
        <v>0.02</v>
      </c>
      <c r="E15" s="1142">
        <f t="shared" si="2"/>
        <v>0.02</v>
      </c>
      <c r="F15" s="1142">
        <f t="shared" si="2"/>
        <v>0.02</v>
      </c>
      <c r="G15" s="1142">
        <f t="shared" si="2"/>
        <v>0.02</v>
      </c>
      <c r="H15" s="1142">
        <f t="shared" si="2"/>
        <v>0.02</v>
      </c>
      <c r="I15" s="1142">
        <f t="shared" si="2"/>
        <v>0.02</v>
      </c>
      <c r="J15" s="1142">
        <f t="shared" si="2"/>
        <v>0.02</v>
      </c>
      <c r="K15" s="1142">
        <f t="shared" si="2"/>
        <v>0.02</v>
      </c>
      <c r="L15" s="1142">
        <f t="shared" si="2"/>
        <v>0.02</v>
      </c>
      <c r="M15" s="1142">
        <f t="shared" si="2"/>
        <v>0.02</v>
      </c>
      <c r="N15" s="1142">
        <f t="shared" si="2"/>
        <v>0.02</v>
      </c>
      <c r="O15" s="1142">
        <f t="shared" si="2"/>
        <v>0.02</v>
      </c>
      <c r="P15" s="1142">
        <f t="shared" si="2"/>
        <v>0.02</v>
      </c>
      <c r="Q15" s="1142">
        <f t="shared" si="2"/>
        <v>0.02</v>
      </c>
      <c r="R15" s="1142">
        <f t="shared" si="2"/>
        <v>0.02</v>
      </c>
      <c r="S15" s="1142">
        <f t="shared" si="2"/>
        <v>0.02</v>
      </c>
      <c r="T15" s="1142">
        <f t="shared" si="2"/>
        <v>0.02</v>
      </c>
      <c r="U15" s="1142">
        <f t="shared" si="2"/>
        <v>0.02</v>
      </c>
      <c r="V15" s="1142">
        <f t="shared" si="2"/>
        <v>0.02</v>
      </c>
      <c r="W15" s="1146">
        <f t="shared" si="2"/>
        <v>0.02</v>
      </c>
      <c r="X15" s="185"/>
      <c r="Y15" s="105"/>
      <c r="Z15" s="105"/>
    </row>
    <row r="16" spans="1:227" s="3" customFormat="1" ht="12.6" customHeight="1">
      <c r="A16" s="652" t="s">
        <v>95</v>
      </c>
      <c r="B16" s="646"/>
      <c r="C16" s="833">
        <v>0</v>
      </c>
      <c r="D16" s="833">
        <v>0</v>
      </c>
      <c r="E16" s="833">
        <v>0</v>
      </c>
      <c r="F16" s="833">
        <v>0</v>
      </c>
      <c r="G16" s="833">
        <v>0</v>
      </c>
      <c r="H16" s="833">
        <v>0</v>
      </c>
      <c r="I16" s="833">
        <v>0</v>
      </c>
      <c r="J16" s="833">
        <v>0</v>
      </c>
      <c r="K16" s="833">
        <v>0</v>
      </c>
      <c r="L16" s="833">
        <v>0</v>
      </c>
      <c r="M16" s="833">
        <v>0</v>
      </c>
      <c r="N16" s="833">
        <v>0</v>
      </c>
      <c r="O16" s="833">
        <v>0</v>
      </c>
      <c r="P16" s="833">
        <v>0</v>
      </c>
      <c r="Q16" s="833">
        <v>0</v>
      </c>
      <c r="R16" s="833">
        <v>0</v>
      </c>
      <c r="S16" s="833">
        <v>0</v>
      </c>
      <c r="T16" s="833">
        <v>0</v>
      </c>
      <c r="U16" s="833">
        <v>0</v>
      </c>
      <c r="V16" s="833">
        <v>0</v>
      </c>
      <c r="W16" s="834">
        <v>0</v>
      </c>
      <c r="X16" s="185"/>
      <c r="Y16" s="105"/>
      <c r="Z16" s="105"/>
    </row>
    <row r="17" spans="1:26" s="3" customFormat="1" ht="12.6" customHeight="1">
      <c r="A17" s="652" t="s">
        <v>84</v>
      </c>
      <c r="B17" s="646"/>
      <c r="C17" s="654">
        <f t="shared" ref="C17:W17" si="3">IF(C4=YEAR(EVAP_Date),ISO_MW*(1-C15)*(1-MONTH(EVAP_Date)/12)+ISO_MW*(MONTH(EVAP_Date)/12),IF(C4&gt;=YEAR(EVAP_Date),ISO_MW*(1-C15),NetMW*(1-C15)))</f>
        <v>433.15999999999997</v>
      </c>
      <c r="D17" s="654">
        <f t="shared" si="3"/>
        <v>497.72466666666662</v>
      </c>
      <c r="E17" s="654">
        <f t="shared" si="3"/>
        <v>493.52800000000002</v>
      </c>
      <c r="F17" s="654">
        <f t="shared" si="3"/>
        <v>493.52800000000002</v>
      </c>
      <c r="G17" s="654">
        <f t="shared" si="3"/>
        <v>493.52800000000002</v>
      </c>
      <c r="H17" s="654">
        <f t="shared" si="3"/>
        <v>493.52800000000002</v>
      </c>
      <c r="I17" s="654">
        <f t="shared" si="3"/>
        <v>493.52800000000002</v>
      </c>
      <c r="J17" s="654">
        <f t="shared" si="3"/>
        <v>493.52800000000002</v>
      </c>
      <c r="K17" s="654">
        <f t="shared" si="3"/>
        <v>493.52800000000002</v>
      </c>
      <c r="L17" s="654">
        <f t="shared" si="3"/>
        <v>493.52800000000002</v>
      </c>
      <c r="M17" s="654">
        <f t="shared" si="3"/>
        <v>493.52800000000002</v>
      </c>
      <c r="N17" s="654">
        <f t="shared" si="3"/>
        <v>493.52800000000002</v>
      </c>
      <c r="O17" s="654">
        <f t="shared" si="3"/>
        <v>493.52800000000002</v>
      </c>
      <c r="P17" s="654">
        <f t="shared" si="3"/>
        <v>493.52800000000002</v>
      </c>
      <c r="Q17" s="654">
        <f t="shared" si="3"/>
        <v>493.52800000000002</v>
      </c>
      <c r="R17" s="654">
        <f t="shared" si="3"/>
        <v>493.52800000000002</v>
      </c>
      <c r="S17" s="654">
        <f t="shared" si="3"/>
        <v>493.52800000000002</v>
      </c>
      <c r="T17" s="654">
        <f t="shared" si="3"/>
        <v>493.52800000000002</v>
      </c>
      <c r="U17" s="654">
        <f t="shared" si="3"/>
        <v>493.52800000000002</v>
      </c>
      <c r="V17" s="654">
        <f t="shared" si="3"/>
        <v>493.52800000000002</v>
      </c>
      <c r="W17" s="655">
        <f t="shared" si="3"/>
        <v>493.52800000000002</v>
      </c>
      <c r="X17" s="185"/>
      <c r="Y17" s="105"/>
      <c r="Z17" s="105"/>
    </row>
    <row r="18" spans="1:26" s="3" customFormat="1" ht="12.6" customHeight="1">
      <c r="A18" s="652"/>
      <c r="B18" s="646"/>
      <c r="C18" s="654"/>
      <c r="D18" s="654"/>
      <c r="E18" s="654"/>
      <c r="F18" s="654"/>
      <c r="G18" s="654"/>
      <c r="H18" s="654"/>
      <c r="I18" s="654"/>
      <c r="J18" s="654"/>
      <c r="K18" s="654"/>
      <c r="L18" s="654"/>
      <c r="M18" s="654"/>
      <c r="N18" s="654"/>
      <c r="O18" s="654"/>
      <c r="P18" s="654"/>
      <c r="Q18" s="654"/>
      <c r="R18" s="654"/>
      <c r="S18" s="654"/>
      <c r="T18" s="654"/>
      <c r="U18" s="654"/>
      <c r="V18" s="654"/>
      <c r="W18" s="655"/>
      <c r="X18" s="185"/>
      <c r="Y18" s="105"/>
      <c r="Z18" s="105"/>
    </row>
    <row r="19" spans="1:26" s="3" customFormat="1" ht="12.6" customHeight="1">
      <c r="A19" s="652" t="s">
        <v>665</v>
      </c>
      <c r="B19" s="646"/>
      <c r="C19" s="654">
        <f>IF(C3&gt;ProjectLife+1,0,(C17-C20)*'PPA Assumptions &amp; Summary'!C8/12)</f>
        <v>0</v>
      </c>
      <c r="D19" s="654">
        <f>IF(D3&gt;ProjectLife+1,0,(D17-D20)*'PPA Assumptions &amp; Summary'!D8/12)</f>
        <v>0</v>
      </c>
      <c r="E19" s="654">
        <f>IF(E3&gt;ProjectLife+1,0,(E17-E20)*'PPA Assumptions &amp; Summary'!E8/12)</f>
        <v>0</v>
      </c>
      <c r="F19" s="654">
        <f>IF(F3&gt;ProjectLife+1,0,(F17-F20)*'PPA Assumptions &amp; Summary'!F8/12)</f>
        <v>0</v>
      </c>
      <c r="G19" s="654">
        <f>IF(G3&gt;ProjectLife+1,0,(G17-G20)*'PPA Assumptions &amp; Summary'!G8/12)</f>
        <v>284.53260111111109</v>
      </c>
      <c r="H19" s="654">
        <f>IF(H3&gt;ProjectLife+1,0,(H17-H20)*'PPA Assumptions &amp; Summary'!H8/12)</f>
        <v>483.65744000000001</v>
      </c>
      <c r="I19" s="654">
        <f>IF(I3&gt;ProjectLife+1,0,(I17-I20)*'PPA Assumptions &amp; Summary'!I8/12)</f>
        <v>483.65744000000001</v>
      </c>
      <c r="J19" s="654">
        <f>IF(J3&gt;ProjectLife+1,0,(J17-J20)*'PPA Assumptions &amp; Summary'!J8/12)</f>
        <v>483.65744000000001</v>
      </c>
      <c r="K19" s="654">
        <f>IF(K3&gt;ProjectLife+1,0,(K17-K20)*'PPA Assumptions &amp; Summary'!K8/12)</f>
        <v>483.65744000000001</v>
      </c>
      <c r="L19" s="654">
        <f>IF(L3&gt;ProjectLife+1,0,(L17-L20)*'PPA Assumptions &amp; Summary'!L8/12)</f>
        <v>483.65744000000001</v>
      </c>
      <c r="M19" s="654">
        <f>IF(M3&gt;ProjectLife+1,0,(M17-M20)*'PPA Assumptions &amp; Summary'!M8/12)</f>
        <v>483.65744000000001</v>
      </c>
      <c r="N19" s="654">
        <f>IF(N3&gt;ProjectLife+1,0,(N17-N20)*'PPA Assumptions &amp; Summary'!N8/12)</f>
        <v>483.65744000000001</v>
      </c>
      <c r="O19" s="654">
        <f>IF(O3&gt;ProjectLife+1,0,(O17-O20)*'PPA Assumptions &amp; Summary'!O8/12)</f>
        <v>483.65744000000001</v>
      </c>
      <c r="P19" s="654">
        <f>IF(P3&gt;ProjectLife+1,0,(P17-P20)*'PPA Assumptions &amp; Summary'!P8/12)</f>
        <v>483.65744000000001</v>
      </c>
      <c r="Q19" s="654">
        <f>IF(Q3&gt;ProjectLife+1,0,(Q17-Q20)*'PPA Assumptions &amp; Summary'!Q8/12)</f>
        <v>483.65744000000001</v>
      </c>
      <c r="R19" s="654">
        <f>IF(R3&gt;ProjectLife+1,0,(R17-R20)*'PPA Assumptions &amp; Summary'!R8/12)</f>
        <v>483.65744000000001</v>
      </c>
      <c r="S19" s="654">
        <f>IF(S3&gt;ProjectLife+1,0,(S17-S20)*'PPA Assumptions &amp; Summary'!S8/12)</f>
        <v>483.65744000000001</v>
      </c>
      <c r="T19" s="654">
        <f>IF(T3&gt;ProjectLife+1,0,(T17-T20)*'PPA Assumptions &amp; Summary'!T8/12)</f>
        <v>483.65744000000001</v>
      </c>
      <c r="U19" s="654">
        <f>IF(U3&gt;ProjectLife+1,0,(U17-U20)*'PPA Assumptions &amp; Summary'!U8/12)</f>
        <v>483.65744000000001</v>
      </c>
      <c r="V19" s="654">
        <f>IF(V3&gt;ProjectLife+1,0,(V17-V20)*'PPA Assumptions &amp; Summary'!V8/12)</f>
        <v>483.65744000000001</v>
      </c>
      <c r="W19" s="655">
        <f>IF(W3&gt;ProjectLife+1,0,(W17-W20)*'PPA Assumptions &amp; Summary'!W8/12)</f>
        <v>483.65744000000001</v>
      </c>
      <c r="X19" s="185"/>
      <c r="Y19" s="105"/>
      <c r="Z19" s="105"/>
    </row>
    <row r="20" spans="1:26" s="3" customFormat="1" ht="12.6" customHeight="1">
      <c r="A20" s="652" t="s">
        <v>666</v>
      </c>
      <c r="B20" s="646"/>
      <c r="C20" s="654">
        <f>C17*Cap_Factor_Energy*'PPA Assumptions &amp; Summary'!C8/12</f>
        <v>0</v>
      </c>
      <c r="D20" s="654">
        <f>D17*Cap_Factor_Energy*'PPA Assumptions &amp; Summary'!D8/12</f>
        <v>0</v>
      </c>
      <c r="E20" s="654">
        <f>E17*Cap_Factor_Energy*'PPA Assumptions &amp; Summary'!E8/12</f>
        <v>0</v>
      </c>
      <c r="F20" s="654">
        <f>F17*Cap_Factor_Energy*'PPA Assumptions &amp; Summary'!F8/12</f>
        <v>0</v>
      </c>
      <c r="G20" s="654">
        <f>G17*Cap_Factor_Energy*'PPA Assumptions &amp; Summary'!G8/12</f>
        <v>5.7578266666666673</v>
      </c>
      <c r="H20" s="654">
        <f>H17*Cap_Factor_Energy*'PPA Assumptions &amp; Summary'!H8/12</f>
        <v>9.8705600000000011</v>
      </c>
      <c r="I20" s="654">
        <f>I17*Cap_Factor_Energy*'PPA Assumptions &amp; Summary'!I8/12</f>
        <v>9.8705600000000011</v>
      </c>
      <c r="J20" s="654">
        <f>J17*Cap_Factor_Energy*'PPA Assumptions &amp; Summary'!J8/12</f>
        <v>9.8705600000000011</v>
      </c>
      <c r="K20" s="654">
        <f>K17*Cap_Factor_Energy*'PPA Assumptions &amp; Summary'!K8/12</f>
        <v>9.8705600000000011</v>
      </c>
      <c r="L20" s="654">
        <f>L17*Cap_Factor_Energy*'PPA Assumptions &amp; Summary'!L8/12</f>
        <v>9.8705600000000011</v>
      </c>
      <c r="M20" s="654">
        <f>M17*Cap_Factor_Energy*'PPA Assumptions &amp; Summary'!M8/12</f>
        <v>9.8705600000000011</v>
      </c>
      <c r="N20" s="654">
        <f>N17*Cap_Factor_Energy*'PPA Assumptions &amp; Summary'!N8/12</f>
        <v>9.8705600000000011</v>
      </c>
      <c r="O20" s="654">
        <f>O17*Cap_Factor_Energy*'PPA Assumptions &amp; Summary'!O8/12</f>
        <v>9.8705600000000011</v>
      </c>
      <c r="P20" s="654">
        <f>P17*Cap_Factor_Energy*'PPA Assumptions &amp; Summary'!P8/12</f>
        <v>9.8705600000000011</v>
      </c>
      <c r="Q20" s="654">
        <f>Q17*Cap_Factor_Energy*'PPA Assumptions &amp; Summary'!Q8/12</f>
        <v>9.8705600000000011</v>
      </c>
      <c r="R20" s="654">
        <f>R17*Cap_Factor_Energy*'PPA Assumptions &amp; Summary'!R8/12</f>
        <v>9.8705600000000011</v>
      </c>
      <c r="S20" s="654">
        <f>S17*Cap_Factor_Energy*'PPA Assumptions &amp; Summary'!S8/12</f>
        <v>9.8705600000000011</v>
      </c>
      <c r="T20" s="654">
        <f>T17*Cap_Factor_Energy*'PPA Assumptions &amp; Summary'!T8/12</f>
        <v>9.8705600000000011</v>
      </c>
      <c r="U20" s="654">
        <f>U17*Cap_Factor_Energy*'PPA Assumptions &amp; Summary'!U8/12</f>
        <v>9.8705600000000011</v>
      </c>
      <c r="V20" s="654">
        <f>V17*Cap_Factor_Energy*'PPA Assumptions &amp; Summary'!V8/12</f>
        <v>9.8705600000000011</v>
      </c>
      <c r="W20" s="655">
        <f>W17*Cap_Factor_Energy*'PPA Assumptions &amp; Summary'!W8/12</f>
        <v>9.8705600000000011</v>
      </c>
      <c r="X20" s="185"/>
      <c r="Y20" s="105"/>
      <c r="Z20" s="105"/>
    </row>
    <row r="21" spans="1:26" s="3" customFormat="1" ht="12.6" customHeight="1">
      <c r="A21" s="652" t="s">
        <v>85</v>
      </c>
      <c r="B21" s="646"/>
      <c r="C21" s="801">
        <f>IF(C3&gt;ProjectLife+1,0,AnnualHours)</f>
        <v>1200</v>
      </c>
      <c r="D21" s="801">
        <f t="shared" ref="D21:W21" si="4">IF(D3&gt;ProjectLife+1,0,AnnualHours)</f>
        <v>1200</v>
      </c>
      <c r="E21" s="801">
        <f t="shared" si="4"/>
        <v>1200</v>
      </c>
      <c r="F21" s="801">
        <f t="shared" si="4"/>
        <v>1200</v>
      </c>
      <c r="G21" s="801">
        <f t="shared" si="4"/>
        <v>1200</v>
      </c>
      <c r="H21" s="801">
        <f t="shared" si="4"/>
        <v>1200</v>
      </c>
      <c r="I21" s="801">
        <f t="shared" si="4"/>
        <v>1200</v>
      </c>
      <c r="J21" s="801">
        <f t="shared" si="4"/>
        <v>1200</v>
      </c>
      <c r="K21" s="801">
        <f t="shared" si="4"/>
        <v>1200</v>
      </c>
      <c r="L21" s="801">
        <f t="shared" si="4"/>
        <v>1200</v>
      </c>
      <c r="M21" s="801">
        <f t="shared" si="4"/>
        <v>1200</v>
      </c>
      <c r="N21" s="801">
        <f t="shared" si="4"/>
        <v>1200</v>
      </c>
      <c r="O21" s="801">
        <f t="shared" si="4"/>
        <v>1200</v>
      </c>
      <c r="P21" s="801">
        <f t="shared" si="4"/>
        <v>1200</v>
      </c>
      <c r="Q21" s="801">
        <f t="shared" si="4"/>
        <v>1200</v>
      </c>
      <c r="R21" s="801">
        <f t="shared" si="4"/>
        <v>1200</v>
      </c>
      <c r="S21" s="801">
        <f t="shared" si="4"/>
        <v>1200</v>
      </c>
      <c r="T21" s="801">
        <f t="shared" si="4"/>
        <v>1200</v>
      </c>
      <c r="U21" s="801">
        <f t="shared" si="4"/>
        <v>1200</v>
      </c>
      <c r="V21" s="801">
        <f t="shared" si="4"/>
        <v>1200</v>
      </c>
      <c r="W21" s="802">
        <f t="shared" si="4"/>
        <v>1200</v>
      </c>
      <c r="X21" s="185"/>
      <c r="Y21" s="105"/>
      <c r="Z21" s="105"/>
    </row>
    <row r="22" spans="1:26" s="3" customFormat="1" ht="12.6" customHeight="1">
      <c r="A22" s="788" t="s">
        <v>136</v>
      </c>
      <c r="B22" s="835"/>
      <c r="C22" s="836">
        <f>IF(C3&gt;'[6]Project Assumptions'!$I$15+1,0,C21*(C19+C20))</f>
        <v>0</v>
      </c>
      <c r="D22" s="836">
        <f>IF(D3&gt;'[6]Project Assumptions'!$I$15+1,0,D21*(D19+D20))</f>
        <v>0</v>
      </c>
      <c r="E22" s="836">
        <f>IF(E3&gt;'[6]Project Assumptions'!$I$15+1,0,E21*(E19+E20))</f>
        <v>0</v>
      </c>
      <c r="F22" s="836">
        <f>IF(F3&gt;'[6]Project Assumptions'!$I$15+1,0,F21*(F19+F20))</f>
        <v>0</v>
      </c>
      <c r="G22" s="836">
        <f>IF(G3&gt;'[6]Project Assumptions'!$I$15+1,0,G21*(G19+G20))</f>
        <v>348348.51333333331</v>
      </c>
      <c r="H22" s="836">
        <f>IF(H3&gt;'[6]Project Assumptions'!$I$15+1,0,H21*(H19+H20))</f>
        <v>592233.6</v>
      </c>
      <c r="I22" s="836">
        <f>IF(I3&gt;'[6]Project Assumptions'!$I$15+1,0,I21*(I19+I20))</f>
        <v>592233.6</v>
      </c>
      <c r="J22" s="836">
        <f>IF(J3&gt;'[6]Project Assumptions'!$I$15+1,0,J21*(J19+J20))</f>
        <v>592233.6</v>
      </c>
      <c r="K22" s="836">
        <f>IF(K3&gt;'[6]Project Assumptions'!$I$15+1,0,K21*(K19+K20))</f>
        <v>592233.6</v>
      </c>
      <c r="L22" s="836">
        <f>IF(L3&gt;'[6]Project Assumptions'!$I$15+1,0,L21*(L19+L20))</f>
        <v>592233.6</v>
      </c>
      <c r="M22" s="836">
        <f>IF(M3&gt;'[6]Project Assumptions'!$I$15+1,0,M21*(M19+M20))</f>
        <v>592233.6</v>
      </c>
      <c r="N22" s="836">
        <f>IF(N3&gt;'[6]Project Assumptions'!$I$15+1,0,N21*(N19+N20))</f>
        <v>592233.6</v>
      </c>
      <c r="O22" s="836">
        <f>IF(O3&gt;'[6]Project Assumptions'!$I$15+1,0,O21*(O19+O20))</f>
        <v>592233.6</v>
      </c>
      <c r="P22" s="836">
        <f>IF(P3&gt;'[6]Project Assumptions'!$I$15+1,0,P21*(P19+P20))</f>
        <v>592233.6</v>
      </c>
      <c r="Q22" s="836">
        <f>IF(Q3&gt;'[6]Project Assumptions'!$I$15+1,0,Q21*(Q19+Q20))</f>
        <v>592233.6</v>
      </c>
      <c r="R22" s="836">
        <f>IF(R3&gt;'[6]Project Assumptions'!$I$15+1,0,R21*(R19+R20))</f>
        <v>592233.6</v>
      </c>
      <c r="S22" s="836">
        <f>IF(S3&gt;'[6]Project Assumptions'!$I$15+1,0,S21*(S19+S20))</f>
        <v>592233.6</v>
      </c>
      <c r="T22" s="836">
        <f>IF(T3&gt;'[6]Project Assumptions'!$I$15+1,0,T21*(T19+T20))</f>
        <v>592233.6</v>
      </c>
      <c r="U22" s="836">
        <f>IF(U3&gt;'[6]Project Assumptions'!$I$15+1,0,U21*(U19+U20))</f>
        <v>592233.6</v>
      </c>
      <c r="V22" s="836">
        <f>IF(V3&gt;'[6]Project Assumptions'!$I$15+1,0,V21*(V19+V20))</f>
        <v>592233.6</v>
      </c>
      <c r="W22" s="1170">
        <f>IF(W3&gt;'[6]Project Assumptions'!$I$15+1,0,W21*(W19+W20))</f>
        <v>592233.6</v>
      </c>
      <c r="X22" s="185"/>
      <c r="Y22" s="105"/>
      <c r="Z22" s="105"/>
    </row>
    <row r="23" spans="1:26" s="3" customFormat="1" ht="12.6" customHeight="1">
      <c r="A23" s="398"/>
      <c r="B23" s="184"/>
      <c r="C23" s="186"/>
      <c r="D23" s="186"/>
      <c r="E23" s="186"/>
      <c r="F23" s="186"/>
      <c r="G23" s="186"/>
      <c r="H23" s="186"/>
      <c r="I23" s="186"/>
      <c r="J23" s="186"/>
      <c r="K23" s="186"/>
      <c r="L23" s="186"/>
      <c r="M23" s="186"/>
      <c r="N23" s="186"/>
      <c r="O23" s="186"/>
      <c r="P23" s="186"/>
      <c r="Q23" s="186"/>
      <c r="R23" s="186"/>
      <c r="S23" s="186"/>
      <c r="T23" s="186"/>
      <c r="U23" s="186"/>
      <c r="V23" s="186"/>
      <c r="W23" s="186"/>
      <c r="X23" s="186"/>
      <c r="Y23" s="7"/>
      <c r="Z23" s="7"/>
    </row>
    <row r="24" spans="1:26" s="3" customFormat="1" ht="15.75">
      <c r="A24" s="792" t="s">
        <v>160</v>
      </c>
      <c r="B24" s="642"/>
      <c r="C24" s="837"/>
      <c r="D24" s="837"/>
      <c r="E24" s="837"/>
      <c r="F24" s="837"/>
      <c r="G24" s="837"/>
      <c r="H24" s="837"/>
      <c r="I24" s="837"/>
      <c r="J24" s="837"/>
      <c r="K24" s="837"/>
      <c r="L24" s="837"/>
      <c r="M24" s="837"/>
      <c r="N24" s="837"/>
      <c r="O24" s="837"/>
      <c r="P24" s="837"/>
      <c r="Q24" s="837"/>
      <c r="R24" s="837"/>
      <c r="S24" s="837"/>
      <c r="T24" s="837"/>
      <c r="U24" s="837"/>
      <c r="V24" s="837"/>
      <c r="W24" s="838"/>
      <c r="X24" s="399"/>
      <c r="Y24" s="106"/>
      <c r="Z24" s="106"/>
    </row>
    <row r="25" spans="1:26" s="3" customFormat="1" ht="15.75">
      <c r="A25" s="781"/>
      <c r="B25" s="646"/>
      <c r="C25" s="797"/>
      <c r="D25" s="797"/>
      <c r="E25" s="797"/>
      <c r="F25" s="797"/>
      <c r="G25" s="797"/>
      <c r="H25" s="797"/>
      <c r="I25" s="797"/>
      <c r="J25" s="797"/>
      <c r="K25" s="797"/>
      <c r="L25" s="797"/>
      <c r="M25" s="797"/>
      <c r="N25" s="797"/>
      <c r="O25" s="797"/>
      <c r="P25" s="797"/>
      <c r="Q25" s="797"/>
      <c r="R25" s="797"/>
      <c r="S25" s="797"/>
      <c r="T25" s="797"/>
      <c r="U25" s="797"/>
      <c r="V25" s="797"/>
      <c r="W25" s="798"/>
      <c r="X25" s="399"/>
      <c r="Y25" s="106"/>
      <c r="Z25" s="106"/>
    </row>
    <row r="26" spans="1:26" s="98" customFormat="1" ht="12.6" customHeight="1">
      <c r="A26" s="779" t="s">
        <v>156</v>
      </c>
      <c r="B26" s="179"/>
      <c r="C26" s="812">
        <f>C12</f>
        <v>530400</v>
      </c>
      <c r="D26" s="812">
        <f t="shared" ref="D26:W26" si="5">D12</f>
        <v>540900</v>
      </c>
      <c r="E26" s="812">
        <f t="shared" si="5"/>
        <v>548400</v>
      </c>
      <c r="F26" s="812">
        <f t="shared" si="5"/>
        <v>548400</v>
      </c>
      <c r="G26" s="812">
        <f t="shared" si="5"/>
        <v>228500</v>
      </c>
      <c r="H26" s="812">
        <f t="shared" si="5"/>
        <v>0</v>
      </c>
      <c r="I26" s="812">
        <f t="shared" si="5"/>
        <v>0</v>
      </c>
      <c r="J26" s="812">
        <f t="shared" si="5"/>
        <v>0</v>
      </c>
      <c r="K26" s="812">
        <f t="shared" si="5"/>
        <v>0</v>
      </c>
      <c r="L26" s="812">
        <f t="shared" si="5"/>
        <v>0</v>
      </c>
      <c r="M26" s="812">
        <f t="shared" si="5"/>
        <v>0</v>
      </c>
      <c r="N26" s="812">
        <f t="shared" si="5"/>
        <v>0</v>
      </c>
      <c r="O26" s="812">
        <f t="shared" si="5"/>
        <v>0</v>
      </c>
      <c r="P26" s="812">
        <f t="shared" si="5"/>
        <v>0</v>
      </c>
      <c r="Q26" s="812">
        <f t="shared" si="5"/>
        <v>0</v>
      </c>
      <c r="R26" s="812">
        <f t="shared" si="5"/>
        <v>0</v>
      </c>
      <c r="S26" s="812">
        <f t="shared" si="5"/>
        <v>0</v>
      </c>
      <c r="T26" s="812">
        <f t="shared" si="5"/>
        <v>0</v>
      </c>
      <c r="U26" s="812">
        <f t="shared" si="5"/>
        <v>0</v>
      </c>
      <c r="V26" s="812">
        <f t="shared" si="5"/>
        <v>0</v>
      </c>
      <c r="W26" s="813">
        <f t="shared" si="5"/>
        <v>0</v>
      </c>
      <c r="X26" s="484"/>
      <c r="Y26" s="109"/>
      <c r="Z26" s="109"/>
    </row>
    <row r="27" spans="1:26" s="98" customFormat="1" ht="12.6" customHeight="1">
      <c r="A27" s="779" t="s">
        <v>157</v>
      </c>
      <c r="B27" s="179"/>
      <c r="C27" s="839">
        <f t="shared" ref="C27:V27" si="6">IF(C3&gt;ProjectLife,0,C26/C31)</f>
        <v>1</v>
      </c>
      <c r="D27" s="839">
        <f t="shared" si="6"/>
        <v>1</v>
      </c>
      <c r="E27" s="839">
        <f t="shared" si="6"/>
        <v>1</v>
      </c>
      <c r="F27" s="839">
        <f t="shared" si="6"/>
        <v>1</v>
      </c>
      <c r="G27" s="839">
        <f t="shared" si="6"/>
        <v>0.39611786234761553</v>
      </c>
      <c r="H27" s="839">
        <f t="shared" si="6"/>
        <v>0</v>
      </c>
      <c r="I27" s="839">
        <f t="shared" si="6"/>
        <v>0</v>
      </c>
      <c r="J27" s="839">
        <f t="shared" si="6"/>
        <v>0</v>
      </c>
      <c r="K27" s="839">
        <f t="shared" si="6"/>
        <v>0</v>
      </c>
      <c r="L27" s="839">
        <f t="shared" si="6"/>
        <v>0</v>
      </c>
      <c r="M27" s="839">
        <f t="shared" si="6"/>
        <v>0</v>
      </c>
      <c r="N27" s="839">
        <f t="shared" si="6"/>
        <v>0</v>
      </c>
      <c r="O27" s="839">
        <f t="shared" si="6"/>
        <v>0</v>
      </c>
      <c r="P27" s="839">
        <f t="shared" si="6"/>
        <v>0</v>
      </c>
      <c r="Q27" s="839">
        <f t="shared" si="6"/>
        <v>0</v>
      </c>
      <c r="R27" s="839">
        <f t="shared" si="6"/>
        <v>0</v>
      </c>
      <c r="S27" s="839">
        <f t="shared" si="6"/>
        <v>0</v>
      </c>
      <c r="T27" s="839">
        <f t="shared" si="6"/>
        <v>0</v>
      </c>
      <c r="U27" s="839">
        <f t="shared" si="6"/>
        <v>0</v>
      </c>
      <c r="V27" s="839">
        <f t="shared" si="6"/>
        <v>0</v>
      </c>
      <c r="W27" s="840">
        <f>IF(W3&gt;ProjectLife+1,0,W26/W31)</f>
        <v>0</v>
      </c>
      <c r="X27" s="446"/>
      <c r="Y27" s="110"/>
      <c r="Z27" s="110"/>
    </row>
    <row r="28" spans="1:26" s="98" customFormat="1" ht="12.6" customHeight="1">
      <c r="A28" s="779" t="s">
        <v>158</v>
      </c>
      <c r="B28" s="179"/>
      <c r="C28" s="812">
        <f>IF(C3&gt;ProjectLife+1,0,IF('Project Assumptions'!$C$58="Assumed",C22,0))</f>
        <v>0</v>
      </c>
      <c r="D28" s="812">
        <f>IF(D3&gt;ProjectLife+1,0,IF('Project Assumptions'!$C$58="Assumed",D22,0))</f>
        <v>0</v>
      </c>
      <c r="E28" s="812">
        <f>IF(E3&gt;ProjectLife+1,0,IF('Project Assumptions'!$C$58="Assumed",E22,0))</f>
        <v>0</v>
      </c>
      <c r="F28" s="812">
        <f>IF(F3&gt;ProjectLife+1,0,IF('Project Assumptions'!$C$58="Assumed",F22,0))</f>
        <v>0</v>
      </c>
      <c r="G28" s="812">
        <f>IF(G3&gt;ProjectLife+1,0,IF('Project Assumptions'!$C$58="Assumed",G22,0))</f>
        <v>348348.51333333331</v>
      </c>
      <c r="H28" s="812">
        <f>IF(H3&gt;ProjectLife+1,0,IF('Project Assumptions'!$C$58="Assumed",H22,0))</f>
        <v>592233.6</v>
      </c>
      <c r="I28" s="812">
        <f>IF(I3&gt;ProjectLife+1,0,IF('Project Assumptions'!$C$58="Assumed",I22,0))</f>
        <v>592233.6</v>
      </c>
      <c r="J28" s="812">
        <f>IF(J3&gt;ProjectLife+1,0,IF('Project Assumptions'!$C$58="Assumed",J22,0))</f>
        <v>592233.6</v>
      </c>
      <c r="K28" s="812">
        <f>IF(K3&gt;ProjectLife+1,0,IF('Project Assumptions'!$C$58="Assumed",K22,0))</f>
        <v>592233.6</v>
      </c>
      <c r="L28" s="812">
        <f>IF(L3&gt;ProjectLife+1,0,IF('Project Assumptions'!$C$58="Assumed",L22,0))</f>
        <v>592233.6</v>
      </c>
      <c r="M28" s="812">
        <f>IF(M3&gt;ProjectLife+1,0,IF('Project Assumptions'!$C$58="Assumed",M22,0))</f>
        <v>592233.6</v>
      </c>
      <c r="N28" s="812">
        <f>IF(N3&gt;ProjectLife+1,0,IF('Project Assumptions'!$C$58="Assumed",N22,0))</f>
        <v>592233.6</v>
      </c>
      <c r="O28" s="812">
        <f>IF(O3&gt;ProjectLife+1,0,IF('Project Assumptions'!$C$58="Assumed",O22,0))</f>
        <v>592233.6</v>
      </c>
      <c r="P28" s="812">
        <f>IF(P3&gt;ProjectLife+1,0,IF('Project Assumptions'!$C$58="Assumed",P22,0))</f>
        <v>592233.6</v>
      </c>
      <c r="Q28" s="812">
        <f>IF(Q3&gt;ProjectLife+1,0,IF('Project Assumptions'!$C$58="Assumed",Q22,0))</f>
        <v>592233.6</v>
      </c>
      <c r="R28" s="812">
        <f>IF(R3&gt;ProjectLife+1,0,IF('Project Assumptions'!$C$58="Assumed",R22,0))</f>
        <v>592233.6</v>
      </c>
      <c r="S28" s="812">
        <f>IF(S3&gt;ProjectLife+1,0,IF('Project Assumptions'!$C$58="Assumed",S22,0))</f>
        <v>592233.6</v>
      </c>
      <c r="T28" s="812">
        <f>IF(T3&gt;ProjectLife+1,0,IF('Project Assumptions'!$C$58="Assumed",T22,0))</f>
        <v>592233.6</v>
      </c>
      <c r="U28" s="812">
        <f>IF(U3&gt;ProjectLife+1,0,IF('Project Assumptions'!$C$58="Assumed",U22,0))</f>
        <v>592233.6</v>
      </c>
      <c r="V28" s="812">
        <f>IF(V3&gt;ProjectLife+1,0,IF('Project Assumptions'!$C$58="Assumed",V22,0))</f>
        <v>592233.6</v>
      </c>
      <c r="W28" s="813">
        <f>IF(W3&gt;ProjectLife+1,0,IF('Project Assumptions'!$C$58="Assumed",W22,0))</f>
        <v>592233.6</v>
      </c>
      <c r="X28" s="435"/>
      <c r="Y28" s="107"/>
      <c r="Z28" s="107"/>
    </row>
    <row r="29" spans="1:26" s="98" customFormat="1" ht="12.6" customHeight="1">
      <c r="A29" s="779" t="s">
        <v>157</v>
      </c>
      <c r="B29" s="179"/>
      <c r="C29" s="841">
        <f t="shared" ref="C29:W29" si="7">IF(C3&gt;ProjectLife,0,C28/C31)</f>
        <v>0</v>
      </c>
      <c r="D29" s="841">
        <f t="shared" si="7"/>
        <v>0</v>
      </c>
      <c r="E29" s="841">
        <f t="shared" si="7"/>
        <v>0</v>
      </c>
      <c r="F29" s="841">
        <f t="shared" si="7"/>
        <v>0</v>
      </c>
      <c r="G29" s="841">
        <f t="shared" si="7"/>
        <v>0.60388213765238441</v>
      </c>
      <c r="H29" s="841">
        <f t="shared" si="7"/>
        <v>1</v>
      </c>
      <c r="I29" s="841">
        <f t="shared" si="7"/>
        <v>1</v>
      </c>
      <c r="J29" s="841">
        <f t="shared" si="7"/>
        <v>1</v>
      </c>
      <c r="K29" s="841">
        <f t="shared" si="7"/>
        <v>1</v>
      </c>
      <c r="L29" s="841">
        <f t="shared" si="7"/>
        <v>1</v>
      </c>
      <c r="M29" s="841">
        <f t="shared" si="7"/>
        <v>1</v>
      </c>
      <c r="N29" s="841">
        <f t="shared" si="7"/>
        <v>1</v>
      </c>
      <c r="O29" s="841">
        <f t="shared" si="7"/>
        <v>1</v>
      </c>
      <c r="P29" s="841">
        <f t="shared" si="7"/>
        <v>1</v>
      </c>
      <c r="Q29" s="841">
        <f t="shared" si="7"/>
        <v>1</v>
      </c>
      <c r="R29" s="841">
        <f t="shared" si="7"/>
        <v>1</v>
      </c>
      <c r="S29" s="841">
        <f t="shared" si="7"/>
        <v>1</v>
      </c>
      <c r="T29" s="841">
        <f t="shared" si="7"/>
        <v>1</v>
      </c>
      <c r="U29" s="841">
        <f t="shared" si="7"/>
        <v>1</v>
      </c>
      <c r="V29" s="841">
        <f t="shared" si="7"/>
        <v>1</v>
      </c>
      <c r="W29" s="842">
        <f t="shared" si="7"/>
        <v>0</v>
      </c>
      <c r="X29" s="485"/>
      <c r="Y29" s="117"/>
      <c r="Z29" s="117"/>
    </row>
    <row r="30" spans="1:26" s="3" customFormat="1" ht="12.6" customHeight="1">
      <c r="A30" s="652"/>
      <c r="B30" s="646"/>
      <c r="C30" s="799"/>
      <c r="D30" s="799"/>
      <c r="E30" s="799"/>
      <c r="F30" s="799"/>
      <c r="G30" s="799"/>
      <c r="H30" s="799"/>
      <c r="I30" s="799"/>
      <c r="J30" s="799"/>
      <c r="K30" s="799"/>
      <c r="L30" s="799"/>
      <c r="M30" s="799"/>
      <c r="N30" s="799"/>
      <c r="O30" s="799"/>
      <c r="P30" s="799"/>
      <c r="Q30" s="799"/>
      <c r="R30" s="799"/>
      <c r="S30" s="799"/>
      <c r="T30" s="799"/>
      <c r="U30" s="799"/>
      <c r="V30" s="799"/>
      <c r="W30" s="800"/>
      <c r="X30" s="185"/>
      <c r="Y30" s="105"/>
      <c r="Z30" s="105"/>
    </row>
    <row r="31" spans="1:26" s="98" customFormat="1" ht="12.6" customHeight="1">
      <c r="A31" s="779" t="s">
        <v>154</v>
      </c>
      <c r="B31" s="179"/>
      <c r="C31" s="812">
        <f>IF(C3&gt;ProjectLife+1,0,IF('Project Assumptions'!$C$58="Assumed",C26+C28,C26+C28))</f>
        <v>530400</v>
      </c>
      <c r="D31" s="812">
        <f>IF(D3&gt;ProjectLife+1,0,IF('Project Assumptions'!$C$58="Assumed",D26+D28,D26+D28))</f>
        <v>540900</v>
      </c>
      <c r="E31" s="812">
        <f>IF(E3&gt;ProjectLife+1,0,IF('Project Assumptions'!$C$58="Assumed",E26+E28,E26+E28))</f>
        <v>548400</v>
      </c>
      <c r="F31" s="812">
        <f>IF(F3&gt;ProjectLife+1,0,IF('Project Assumptions'!$C$58="Assumed",F26+F28,F26+F28))</f>
        <v>548400</v>
      </c>
      <c r="G31" s="812">
        <f>IF(G3&gt;ProjectLife+1,0,IF('Project Assumptions'!$C$58="Assumed",G26+G28,G26+G28))</f>
        <v>576848.51333333331</v>
      </c>
      <c r="H31" s="812">
        <f>IF(H3&gt;ProjectLife+1,0,IF('Project Assumptions'!$C$58="Assumed",H26+H28,H26+H28))</f>
        <v>592233.6</v>
      </c>
      <c r="I31" s="812">
        <f>IF(I3&gt;ProjectLife+1,0,IF('Project Assumptions'!$C$58="Assumed",I26+I28,I26+I28))</f>
        <v>592233.6</v>
      </c>
      <c r="J31" s="812">
        <f>IF(J3&gt;ProjectLife+1,0,IF('Project Assumptions'!$C$58="Assumed",J26+J28,J26+J28))</f>
        <v>592233.6</v>
      </c>
      <c r="K31" s="812">
        <f>IF(K3&gt;ProjectLife+1,0,IF('Project Assumptions'!$C$58="Assumed",K26+K28,K26+K28))</f>
        <v>592233.6</v>
      </c>
      <c r="L31" s="812">
        <f>IF(L3&gt;ProjectLife+1,0,IF('Project Assumptions'!$C$58="Assumed",L26+L28,L26+L28))</f>
        <v>592233.6</v>
      </c>
      <c r="M31" s="812">
        <f>IF(M3&gt;ProjectLife+1,0,IF('Project Assumptions'!$C$58="Assumed",M26+M28,M26+M28))</f>
        <v>592233.6</v>
      </c>
      <c r="N31" s="812">
        <f>IF(N3&gt;ProjectLife+1,0,IF('Project Assumptions'!$C$58="Assumed",N26+N28,N26+N28))</f>
        <v>592233.6</v>
      </c>
      <c r="O31" s="812">
        <f>IF(O3&gt;ProjectLife+1,0,IF('Project Assumptions'!$C$58="Assumed",O26+O28,O26+O28))</f>
        <v>592233.6</v>
      </c>
      <c r="P31" s="812">
        <f>IF(P3&gt;ProjectLife+1,0,IF('Project Assumptions'!$C$58="Assumed",P26+P28,P26+P28))</f>
        <v>592233.6</v>
      </c>
      <c r="Q31" s="812">
        <f>IF(Q3&gt;ProjectLife+1,0,IF('Project Assumptions'!$C$58="Assumed",Q26+Q28,Q26+Q28))</f>
        <v>592233.6</v>
      </c>
      <c r="R31" s="812">
        <f>IF(R3&gt;ProjectLife+1,0,IF('Project Assumptions'!$C$58="Assumed",R26+R28,R26+R28))</f>
        <v>592233.6</v>
      </c>
      <c r="S31" s="812">
        <f>IF(S3&gt;ProjectLife+1,0,IF('Project Assumptions'!$C$58="Assumed",S26+S28,S26+S28))</f>
        <v>592233.6</v>
      </c>
      <c r="T31" s="812">
        <f>IF(T3&gt;ProjectLife+1,0,IF('Project Assumptions'!$C$58="Assumed",T26+T28,T26+T28))</f>
        <v>592233.6</v>
      </c>
      <c r="U31" s="812">
        <f>IF(U3&gt;ProjectLife+1,0,IF('Project Assumptions'!$C$58="Assumed",U26+U28,U26+U28))</f>
        <v>592233.6</v>
      </c>
      <c r="V31" s="812">
        <f>IF(V3&gt;ProjectLife+1,0,IF('Project Assumptions'!$C$58="Assumed",V26+V28,V26+V28))</f>
        <v>592233.6</v>
      </c>
      <c r="W31" s="813">
        <f>IF(W3&gt;ProjectLife+1,0,IF('Project Assumptions'!$C$58="Assumed",W26+W28,W26+W28))</f>
        <v>592233.6</v>
      </c>
      <c r="X31" s="435"/>
      <c r="Y31" s="107"/>
      <c r="Z31" s="107"/>
    </row>
    <row r="32" spans="1:26" s="98" customFormat="1" ht="12.6" customHeight="1">
      <c r="A32" s="779" t="s">
        <v>107</v>
      </c>
      <c r="B32" s="179"/>
      <c r="C32" s="839">
        <f>IF(C3&gt;ProjectLife,0,C27+C29)</f>
        <v>1</v>
      </c>
      <c r="D32" s="839">
        <f t="shared" ref="D32:W32" si="8">IF(D3&gt;ProjectLife,0,D27+D29)</f>
        <v>1</v>
      </c>
      <c r="E32" s="839">
        <f t="shared" si="8"/>
        <v>1</v>
      </c>
      <c r="F32" s="839">
        <f t="shared" si="8"/>
        <v>1</v>
      </c>
      <c r="G32" s="839">
        <f t="shared" si="8"/>
        <v>1</v>
      </c>
      <c r="H32" s="839">
        <f t="shared" si="8"/>
        <v>1</v>
      </c>
      <c r="I32" s="839">
        <f t="shared" si="8"/>
        <v>1</v>
      </c>
      <c r="J32" s="839">
        <f t="shared" si="8"/>
        <v>1</v>
      </c>
      <c r="K32" s="839">
        <f t="shared" si="8"/>
        <v>1</v>
      </c>
      <c r="L32" s="839">
        <f t="shared" si="8"/>
        <v>1</v>
      </c>
      <c r="M32" s="839">
        <f t="shared" si="8"/>
        <v>1</v>
      </c>
      <c r="N32" s="839">
        <f t="shared" si="8"/>
        <v>1</v>
      </c>
      <c r="O32" s="839">
        <f t="shared" si="8"/>
        <v>1</v>
      </c>
      <c r="P32" s="839">
        <f t="shared" si="8"/>
        <v>1</v>
      </c>
      <c r="Q32" s="839">
        <f t="shared" si="8"/>
        <v>1</v>
      </c>
      <c r="R32" s="839">
        <f t="shared" si="8"/>
        <v>1</v>
      </c>
      <c r="S32" s="839">
        <f t="shared" si="8"/>
        <v>1</v>
      </c>
      <c r="T32" s="839">
        <f t="shared" si="8"/>
        <v>1</v>
      </c>
      <c r="U32" s="839">
        <f t="shared" si="8"/>
        <v>1</v>
      </c>
      <c r="V32" s="839">
        <f t="shared" si="8"/>
        <v>1</v>
      </c>
      <c r="W32" s="840">
        <f t="shared" si="8"/>
        <v>0</v>
      </c>
      <c r="X32" s="446"/>
      <c r="Y32" s="110"/>
      <c r="Z32" s="110"/>
    </row>
    <row r="33" spans="1:28" s="3" customFormat="1" ht="12.6" customHeight="1">
      <c r="A33" s="652" t="s">
        <v>155</v>
      </c>
      <c r="B33" s="646"/>
      <c r="C33" s="843">
        <f>IF(C3&gt;ProjectLife,0,'Project Assumptions'!$I$13*(1+C7))</f>
        <v>12064</v>
      </c>
      <c r="D33" s="843">
        <f>IF(D3&gt;ProjectLife,0,'Project Assumptions'!$I$13*(1+D7))</f>
        <v>12064</v>
      </c>
      <c r="E33" s="843">
        <f>IF(E3&gt;ProjectLife,0,'Project Assumptions'!$I$13*(1+E7))</f>
        <v>12064</v>
      </c>
      <c r="F33" s="843">
        <f>IF(F3&gt;ProjectLife,0,'Project Assumptions'!$I$13*(1+F7))</f>
        <v>12064</v>
      </c>
      <c r="G33" s="843">
        <f>IF(G3&gt;ProjectLife,0,'Project Assumptions'!$I$13*(1+G7))</f>
        <v>12064</v>
      </c>
      <c r="H33" s="843">
        <f>IF(H3&gt;ProjectLife,0,'Project Assumptions'!$I$13*(1+H7))</f>
        <v>12064</v>
      </c>
      <c r="I33" s="843">
        <f>IF(I3&gt;ProjectLife,0,'Project Assumptions'!$I$13*(1+I7))</f>
        <v>12064</v>
      </c>
      <c r="J33" s="843">
        <f>IF(J3&gt;ProjectLife,0,'Project Assumptions'!$I$13*(1+J7))</f>
        <v>12064</v>
      </c>
      <c r="K33" s="843">
        <f>IF(K3&gt;ProjectLife,0,'Project Assumptions'!$I$13*(1+K7))</f>
        <v>12064</v>
      </c>
      <c r="L33" s="843">
        <f>IF(L3&gt;ProjectLife,0,'Project Assumptions'!$I$13*(1+L7))</f>
        <v>12064</v>
      </c>
      <c r="M33" s="843">
        <f>IF(M3&gt;ProjectLife,0,'Project Assumptions'!$I$13*(1+M7))</f>
        <v>12064</v>
      </c>
      <c r="N33" s="843">
        <f>IF(N3&gt;ProjectLife,0,'Project Assumptions'!$I$13*(1+N7))</f>
        <v>12064</v>
      </c>
      <c r="O33" s="843">
        <f>IF(O3&gt;ProjectLife,0,'Project Assumptions'!$I$13*(1+O7))</f>
        <v>12064</v>
      </c>
      <c r="P33" s="843">
        <f>IF(P3&gt;ProjectLife,0,'Project Assumptions'!$I$13*(1+P7))</f>
        <v>12064</v>
      </c>
      <c r="Q33" s="843">
        <f>IF(Q3&gt;ProjectLife,0,'Project Assumptions'!$I$13*(1+Q7))</f>
        <v>12064</v>
      </c>
      <c r="R33" s="843">
        <f>IF(R3&gt;ProjectLife,0,'Project Assumptions'!$I$13*(1+R7))</f>
        <v>12064</v>
      </c>
      <c r="S33" s="843">
        <f>IF(S3&gt;ProjectLife,0,'Project Assumptions'!$I$13*(1+S7))</f>
        <v>12064</v>
      </c>
      <c r="T33" s="843">
        <f>IF(T3&gt;ProjectLife,0,'Project Assumptions'!$I$13*(1+T7))</f>
        <v>12064</v>
      </c>
      <c r="U33" s="843">
        <f>IF(U3&gt;ProjectLife,0,'Project Assumptions'!$I$13*(1+U7))</f>
        <v>12064</v>
      </c>
      <c r="V33" s="843">
        <f>IF(V3&gt;ProjectLife,0,'Project Assumptions'!$I$13*(1+V7))</f>
        <v>12064</v>
      </c>
      <c r="W33" s="844">
        <f>IF(W3&gt;ProjectLife+1,0,'Project Assumptions'!$I$13*(1+W7))</f>
        <v>12064</v>
      </c>
      <c r="X33" s="486"/>
      <c r="Y33" s="95"/>
      <c r="Z33" s="95"/>
    </row>
    <row r="34" spans="1:28" s="3" customFormat="1" ht="12.6" customHeight="1">
      <c r="A34" s="652" t="s">
        <v>86</v>
      </c>
      <c r="B34" s="646"/>
      <c r="C34" s="799">
        <f t="shared" ref="C34:V34" si="9">IF(C3&gt;ProjectLife,0,C33*C31/1000000)</f>
        <v>6398.7456000000002</v>
      </c>
      <c r="D34" s="799">
        <f t="shared" si="9"/>
        <v>6525.4175999999998</v>
      </c>
      <c r="E34" s="799">
        <f t="shared" si="9"/>
        <v>6615.8976000000002</v>
      </c>
      <c r="F34" s="799">
        <f t="shared" si="9"/>
        <v>6615.8976000000002</v>
      </c>
      <c r="G34" s="799">
        <f t="shared" si="9"/>
        <v>6959.1004648533335</v>
      </c>
      <c r="H34" s="799">
        <f t="shared" si="9"/>
        <v>7144.7061503999994</v>
      </c>
      <c r="I34" s="799">
        <f t="shared" si="9"/>
        <v>7144.7061503999994</v>
      </c>
      <c r="J34" s="799">
        <f t="shared" si="9"/>
        <v>7144.7061503999994</v>
      </c>
      <c r="K34" s="799">
        <f t="shared" si="9"/>
        <v>7144.7061503999994</v>
      </c>
      <c r="L34" s="799">
        <f t="shared" si="9"/>
        <v>7144.7061503999994</v>
      </c>
      <c r="M34" s="799">
        <f t="shared" si="9"/>
        <v>7144.7061503999994</v>
      </c>
      <c r="N34" s="799">
        <f t="shared" si="9"/>
        <v>7144.7061503999994</v>
      </c>
      <c r="O34" s="799">
        <f t="shared" si="9"/>
        <v>7144.7061503999994</v>
      </c>
      <c r="P34" s="799">
        <f t="shared" si="9"/>
        <v>7144.7061503999994</v>
      </c>
      <c r="Q34" s="799">
        <f t="shared" si="9"/>
        <v>7144.7061503999994</v>
      </c>
      <c r="R34" s="799">
        <f t="shared" si="9"/>
        <v>7144.7061503999994</v>
      </c>
      <c r="S34" s="799">
        <f t="shared" si="9"/>
        <v>7144.7061503999994</v>
      </c>
      <c r="T34" s="799">
        <f t="shared" si="9"/>
        <v>7144.7061503999994</v>
      </c>
      <c r="U34" s="799">
        <f t="shared" si="9"/>
        <v>7144.7061503999994</v>
      </c>
      <c r="V34" s="799">
        <f t="shared" si="9"/>
        <v>7144.7061503999994</v>
      </c>
      <c r="W34" s="800">
        <f>IF(W3&gt;ProjectLife+1,0,W33*W31/1000000)</f>
        <v>7144.7061503999994</v>
      </c>
      <c r="X34" s="185"/>
      <c r="Y34" s="105"/>
      <c r="Z34" s="105"/>
    </row>
    <row r="35" spans="1:28" s="3" customFormat="1" ht="12.6" customHeight="1">
      <c r="A35" s="652"/>
      <c r="B35" s="646"/>
      <c r="C35" s="654"/>
      <c r="D35" s="654"/>
      <c r="E35" s="654"/>
      <c r="F35" s="654"/>
      <c r="G35" s="654"/>
      <c r="H35" s="654"/>
      <c r="I35" s="654"/>
      <c r="J35" s="654"/>
      <c r="K35" s="654"/>
      <c r="L35" s="654"/>
      <c r="M35" s="654"/>
      <c r="N35" s="654"/>
      <c r="O35" s="654"/>
      <c r="P35" s="654"/>
      <c r="Q35" s="654"/>
      <c r="R35" s="654"/>
      <c r="S35" s="654"/>
      <c r="T35" s="654"/>
      <c r="U35" s="654"/>
      <c r="V35" s="654"/>
      <c r="W35" s="655"/>
      <c r="X35" s="186"/>
      <c r="Y35" s="7"/>
      <c r="Z35" s="7"/>
      <c r="AA35" s="7"/>
    </row>
    <row r="36" spans="1:28" s="3" customFormat="1" ht="12.6" customHeight="1">
      <c r="A36" s="652" t="s">
        <v>159</v>
      </c>
      <c r="B36" s="646"/>
      <c r="C36" s="845">
        <f>IF(C3&gt;ProjectLife,0,IF(AND('Project Assumptions'!$C$59="No",Operations!C3&gt;ProjectLife),0,Operations!C$44*C34))</f>
        <v>16236.816959999998</v>
      </c>
      <c r="D36" s="845">
        <f>IF(D3&gt;ProjectLife,0,IF(AND('Project Assumptions'!$C$59="No",Operations!D3&gt;ProjectLife),0,Operations!D$44*D34))</f>
        <v>16558.247159999995</v>
      </c>
      <c r="E36" s="845">
        <f>IF(E3&gt;ProjectLife,0,IF(AND('Project Assumptions'!$C$59="No",Operations!E3&gt;ProjectLife),0,Operations!E$44*E34))</f>
        <v>16787.84016</v>
      </c>
      <c r="F36" s="845">
        <f>IF(F3&gt;ProjectLife,0,IF(AND('Project Assumptions'!$C$59="No",Operations!F3&gt;ProjectLife),0,Operations!F$44*F34))</f>
        <v>16787.84016</v>
      </c>
      <c r="G36" s="845">
        <f>IF(G3&gt;ProjectLife,0,IF(AND('Project Assumptions'!$C$59="No",Operations!G3&gt;ProjectLife),0,Operations!G$44*G34))</f>
        <v>17658.717429565331</v>
      </c>
      <c r="H36" s="845">
        <f>IF(H3&gt;ProjectLife,0,IF(AND('Project Assumptions'!$C$59="No",Operations!H3&gt;ProjectLife),0,Operations!H$44*H34))</f>
        <v>18129.691856639995</v>
      </c>
      <c r="I36" s="845">
        <f>IF(I3&gt;ProjectLife,0,IF(AND('Project Assumptions'!$C$59="No",Operations!I3&gt;ProjectLife),0,Operations!I$44*I34))</f>
        <v>18129.691856639995</v>
      </c>
      <c r="J36" s="845">
        <f>IF(J3&gt;ProjectLife,0,IF(AND('Project Assumptions'!$C$59="No",Operations!J3&gt;ProjectLife),0,Operations!J$44*J34))</f>
        <v>18129.691856639995</v>
      </c>
      <c r="K36" s="845">
        <f>IF(K3&gt;ProjectLife,0,IF(AND('Project Assumptions'!$C$59="No",Operations!K3&gt;ProjectLife),0,Operations!K$44*K34))</f>
        <v>18129.691856639995</v>
      </c>
      <c r="L36" s="845">
        <f>IF(L3&gt;ProjectLife,0,IF(AND('Project Assumptions'!$C$59="No",Operations!L3&gt;ProjectLife),0,Operations!L$44*L34))</f>
        <v>18129.691856639995</v>
      </c>
      <c r="M36" s="845">
        <f>IF(M3&gt;ProjectLife,0,IF(AND('Project Assumptions'!$C$59="No",Operations!M3&gt;ProjectLife),0,Operations!M$44*M34))</f>
        <v>18129.691856639995</v>
      </c>
      <c r="N36" s="845">
        <f>IF(N3&gt;ProjectLife,0,IF(AND('Project Assumptions'!$C$59="No",Operations!N3&gt;ProjectLife),0,Operations!N$44*N34))</f>
        <v>18129.691856639995</v>
      </c>
      <c r="O36" s="845">
        <f>IF(O3&gt;ProjectLife,0,IF(AND('Project Assumptions'!$C$59="No",Operations!O3&gt;ProjectLife),0,Operations!O$44*O34))</f>
        <v>18129.691856639995</v>
      </c>
      <c r="P36" s="845">
        <f>IF(P3&gt;ProjectLife,0,IF(AND('Project Assumptions'!$C$59="No",Operations!P3&gt;ProjectLife),0,Operations!P$44*P34))</f>
        <v>18129.691856639995</v>
      </c>
      <c r="Q36" s="845">
        <f>IF(Q3&gt;ProjectLife,0,IF(AND('Project Assumptions'!$C$59="No",Operations!Q3&gt;ProjectLife),0,Operations!Q$44*Q34))</f>
        <v>18129.691856639995</v>
      </c>
      <c r="R36" s="845">
        <f>IF(R3&gt;ProjectLife,0,IF(AND('Project Assumptions'!$C$59="No",Operations!R3&gt;ProjectLife),0,Operations!R$44*R34))</f>
        <v>18129.691856639995</v>
      </c>
      <c r="S36" s="845">
        <f>IF(S3&gt;ProjectLife,0,IF(AND('Project Assumptions'!$C$59="No",Operations!S3&gt;ProjectLife),0,Operations!S$44*S34))</f>
        <v>18129.691856639995</v>
      </c>
      <c r="T36" s="845">
        <f>IF(T3&gt;ProjectLife,0,IF(AND('Project Assumptions'!$C$59="No",Operations!T3&gt;ProjectLife),0,Operations!T$44*T34))</f>
        <v>18129.691856639995</v>
      </c>
      <c r="U36" s="845">
        <f>IF(U3&gt;ProjectLife,0,IF(AND('Project Assumptions'!$C$59="No",Operations!U3&gt;ProjectLife),0,Operations!U$44*U34))</f>
        <v>18129.691856639995</v>
      </c>
      <c r="V36" s="845">
        <f>IF(V3&gt;ProjectLife,0,IF(AND('Project Assumptions'!$C$59="No",Operations!V3&gt;ProjectLife),0,Operations!V$44*V34))</f>
        <v>18129.691856639995</v>
      </c>
      <c r="W36" s="846">
        <f>IF(W3&gt;ProjectLife+1,0,IF(AND('Project Assumptions'!$C$59="No",Operations!W3&gt;ProjectLife),0,Operations!W$44*W34))</f>
        <v>18129.691856639995</v>
      </c>
      <c r="X36" s="399"/>
      <c r="Y36" s="106"/>
      <c r="Z36" s="106"/>
      <c r="AA36" s="7"/>
    </row>
    <row r="37" spans="1:28" s="3" customFormat="1" ht="12.6" customHeight="1">
      <c r="A37" s="652"/>
      <c r="B37" s="646"/>
      <c r="C37" s="845"/>
      <c r="D37" s="845"/>
      <c r="E37" s="845"/>
      <c r="F37" s="845"/>
      <c r="G37" s="845"/>
      <c r="H37" s="845"/>
      <c r="I37" s="845"/>
      <c r="J37" s="845"/>
      <c r="K37" s="845"/>
      <c r="L37" s="845"/>
      <c r="M37" s="845"/>
      <c r="N37" s="845"/>
      <c r="O37" s="845"/>
      <c r="P37" s="845"/>
      <c r="Q37" s="845"/>
      <c r="R37" s="845"/>
      <c r="S37" s="845"/>
      <c r="T37" s="845"/>
      <c r="U37" s="845"/>
      <c r="V37" s="845"/>
      <c r="W37" s="846"/>
      <c r="X37" s="399"/>
      <c r="Y37" s="106"/>
      <c r="Z37" s="106"/>
      <c r="AA37" s="7"/>
    </row>
    <row r="38" spans="1:28" s="98" customFormat="1" ht="12.6" customHeight="1">
      <c r="A38" s="814" t="s">
        <v>457</v>
      </c>
      <c r="B38" s="632"/>
      <c r="C38" s="847">
        <f>'Project Assumptions'!$N$60*'Maintainance Reserves'!C7*Operations!C44/1000*'Project Assumptions'!$I$8</f>
        <v>0</v>
      </c>
      <c r="D38" s="847">
        <f>'Project Assumptions'!$N$60*'Maintainance Reserves'!D7*Operations!D44/1000*'Project Assumptions'!$I$8</f>
        <v>0</v>
      </c>
      <c r="E38" s="847">
        <f>'Project Assumptions'!$N$60*'Maintainance Reserves'!E7*Operations!E44/1000*'Project Assumptions'!$I$8</f>
        <v>0</v>
      </c>
      <c r="F38" s="847">
        <f>'Project Assumptions'!$N$60*'Maintainance Reserves'!F7*Operations!F44/1000*'Project Assumptions'!$I$8</f>
        <v>0</v>
      </c>
      <c r="G38" s="847">
        <f>'Project Assumptions'!$N$60*'Maintainance Reserves'!G7*Operations!G44/1000*'Project Assumptions'!$I$8</f>
        <v>0</v>
      </c>
      <c r="H38" s="847">
        <f>'Project Assumptions'!$N$60*'Maintainance Reserves'!H7*Operations!H44/1000*'Project Assumptions'!$I$8</f>
        <v>0</v>
      </c>
      <c r="I38" s="847">
        <f>'Project Assumptions'!$N$60*'Maintainance Reserves'!I7*Operations!I44/1000*'Project Assumptions'!$I$8</f>
        <v>0</v>
      </c>
      <c r="J38" s="847">
        <f>'Project Assumptions'!$N$60*'Maintainance Reserves'!J7*Operations!J44/1000*'Project Assumptions'!$I$8</f>
        <v>0</v>
      </c>
      <c r="K38" s="847">
        <f>'Project Assumptions'!$N$60*'Maintainance Reserves'!K7*Operations!K44/1000*'Project Assumptions'!$I$8</f>
        <v>0</v>
      </c>
      <c r="L38" s="847">
        <f>'Project Assumptions'!$N$60*'Maintainance Reserves'!L7*Operations!L44/1000*'Project Assumptions'!$I$8</f>
        <v>0</v>
      </c>
      <c r="M38" s="847">
        <f>'Project Assumptions'!$N$60*'Maintainance Reserves'!M7*Operations!M44/1000*'Project Assumptions'!$I$8</f>
        <v>0</v>
      </c>
      <c r="N38" s="847">
        <f>'Project Assumptions'!$N$60*'Maintainance Reserves'!N7*Operations!N44/1000*'Project Assumptions'!$I$8</f>
        <v>0</v>
      </c>
      <c r="O38" s="847">
        <f>'Project Assumptions'!$N$60*'Maintainance Reserves'!O7*Operations!O44/1000*'Project Assumptions'!$I$8</f>
        <v>0</v>
      </c>
      <c r="P38" s="847">
        <f>'Project Assumptions'!$N$60*'Maintainance Reserves'!P7*Operations!P44/1000*'Project Assumptions'!$I$8</f>
        <v>0</v>
      </c>
      <c r="Q38" s="847">
        <f>'Project Assumptions'!$N$60*'Maintainance Reserves'!Q7*Operations!Q44/1000*'Project Assumptions'!$I$8</f>
        <v>0</v>
      </c>
      <c r="R38" s="847">
        <f>'Project Assumptions'!$N$60*'Maintainance Reserves'!R7*Operations!R44/1000*'Project Assumptions'!$I$8</f>
        <v>0</v>
      </c>
      <c r="S38" s="847">
        <f>'Project Assumptions'!$N$60*'Maintainance Reserves'!S7*Operations!S44/1000*'Project Assumptions'!$I$8</f>
        <v>0</v>
      </c>
      <c r="T38" s="847">
        <f>'Project Assumptions'!$N$60*'Maintainance Reserves'!T7*Operations!T44/1000*'Project Assumptions'!$I$8</f>
        <v>0</v>
      </c>
      <c r="U38" s="847">
        <f>'Project Assumptions'!$N$60*'Maintainance Reserves'!U7*Operations!U44/1000*'Project Assumptions'!$I$8</f>
        <v>0</v>
      </c>
      <c r="V38" s="847">
        <f>'Project Assumptions'!$N$60*'Maintainance Reserves'!V7*Operations!V44/1000*'Project Assumptions'!$I$8</f>
        <v>0</v>
      </c>
      <c r="W38" s="848" t="e">
        <f>'Project Assumptions'!$N$60*'Maintainance Reserves'!W7*Operations!W44/1000*'Project Assumptions'!$I$8</f>
        <v>#VALUE!</v>
      </c>
      <c r="X38" s="487"/>
      <c r="Y38" s="116"/>
      <c r="Z38" s="116"/>
      <c r="AA38" s="116"/>
    </row>
    <row r="39" spans="1:28" s="98" customFormat="1" ht="12.6" customHeight="1">
      <c r="A39" s="179"/>
      <c r="B39" s="241"/>
      <c r="C39" s="849"/>
      <c r="D39" s="849"/>
      <c r="E39" s="849"/>
      <c r="F39" s="849"/>
      <c r="G39" s="849"/>
      <c r="H39" s="849"/>
      <c r="I39" s="849"/>
      <c r="J39" s="849"/>
      <c r="K39" s="849"/>
      <c r="L39" s="849"/>
      <c r="M39" s="849"/>
      <c r="N39" s="849"/>
      <c r="O39" s="849"/>
      <c r="P39" s="849"/>
      <c r="Q39" s="849"/>
      <c r="R39" s="849"/>
      <c r="S39" s="849"/>
      <c r="T39" s="849"/>
      <c r="U39" s="849"/>
      <c r="V39" s="849"/>
      <c r="W39" s="849"/>
      <c r="X39" s="487"/>
      <c r="Y39" s="116"/>
      <c r="Z39" s="116"/>
      <c r="AA39" s="116"/>
    </row>
    <row r="40" spans="1:28" s="101" customFormat="1" ht="15.75">
      <c r="A40" s="792" t="s">
        <v>75</v>
      </c>
      <c r="B40" s="641"/>
      <c r="C40" s="641"/>
      <c r="D40" s="641"/>
      <c r="E40" s="641"/>
      <c r="F40" s="641"/>
      <c r="G40" s="641"/>
      <c r="H40" s="641"/>
      <c r="I40" s="641"/>
      <c r="J40" s="641"/>
      <c r="K40" s="641"/>
      <c r="L40" s="641"/>
      <c r="M40" s="641"/>
      <c r="N40" s="641"/>
      <c r="O40" s="641"/>
      <c r="P40" s="641"/>
      <c r="Q40" s="641"/>
      <c r="R40" s="641"/>
      <c r="S40" s="641"/>
      <c r="T40" s="641"/>
      <c r="U40" s="641"/>
      <c r="V40" s="641"/>
      <c r="W40" s="738"/>
      <c r="X40" s="488"/>
      <c r="Y40" s="146"/>
      <c r="Z40" s="146"/>
      <c r="AA40" s="146"/>
    </row>
    <row r="41" spans="1:28" s="3" customFormat="1" ht="12.6" customHeight="1">
      <c r="A41" s="652" t="s">
        <v>217</v>
      </c>
      <c r="B41" s="646"/>
      <c r="C41" s="850">
        <v>1.9517655166666665</v>
      </c>
      <c r="D41" s="850">
        <v>2.2489898999999998</v>
      </c>
      <c r="E41" s="850">
        <v>2.2832108000000004</v>
      </c>
      <c r="F41" s="850">
        <v>2.3113422666666668</v>
      </c>
      <c r="G41" s="850">
        <v>2.3485650000000007</v>
      </c>
      <c r="H41" s="850">
        <v>2.3960797333333335</v>
      </c>
      <c r="I41" s="850">
        <v>2.4538864666666673</v>
      </c>
      <c r="J41" s="850">
        <v>2.5267023666666666</v>
      </c>
      <c r="K41" s="850">
        <v>2.6149562666666664</v>
      </c>
      <c r="L41" s="850">
        <v>2.7186481666666666</v>
      </c>
      <c r="M41" s="850">
        <v>2.8424952333333335</v>
      </c>
      <c r="N41" s="850">
        <v>2.9869263000000004</v>
      </c>
      <c r="O41" s="850">
        <v>3.1519413666666658</v>
      </c>
      <c r="P41" s="850">
        <v>3.3281060999999998</v>
      </c>
      <c r="Q41" s="850">
        <v>3.5145628333333332</v>
      </c>
      <c r="R41" s="850">
        <v>3.7065944000000006</v>
      </c>
      <c r="S41" s="850">
        <v>3.9018851000000003</v>
      </c>
      <c r="T41" s="850">
        <v>4.0993199666666671</v>
      </c>
      <c r="U41" s="850">
        <v>4.294353366666666</v>
      </c>
      <c r="V41" s="850">
        <v>4.4917024666666654</v>
      </c>
      <c r="W41" s="851">
        <v>4.4917024666666654</v>
      </c>
      <c r="X41" s="489"/>
      <c r="Y41" s="111"/>
      <c r="Z41" s="111"/>
      <c r="AA41" s="7"/>
    </row>
    <row r="42" spans="1:28" s="3" customFormat="1" ht="12.6" customHeight="1">
      <c r="A42" s="652" t="s">
        <v>235</v>
      </c>
      <c r="B42" s="646"/>
      <c r="C42" s="852">
        <f>IF('PPA Assumptions &amp; Summary'!C4&gt;ProjectLife+1,0,'Project Assumptions'!$C$54)</f>
        <v>2.5</v>
      </c>
      <c r="D42" s="852">
        <f>IF('PPA Assumptions &amp; Summary'!D4&gt;ProjectLife+1,0,'Project Assumptions'!$C$54)</f>
        <v>2.5</v>
      </c>
      <c r="E42" s="852">
        <f>IF('PPA Assumptions &amp; Summary'!E4&gt;ProjectLife+1,0,'Project Assumptions'!$C$54)</f>
        <v>2.5</v>
      </c>
      <c r="F42" s="852">
        <f>IF('PPA Assumptions &amp; Summary'!F4&gt;ProjectLife+1,0,'Project Assumptions'!$C$54)</f>
        <v>2.5</v>
      </c>
      <c r="G42" s="852">
        <f>IF('PPA Assumptions &amp; Summary'!G4&gt;ProjectLife+1,0,'Project Assumptions'!$C$54)</f>
        <v>2.5</v>
      </c>
      <c r="H42" s="852">
        <f>IF('PPA Assumptions &amp; Summary'!H4&gt;ProjectLife+1,0,'Project Assumptions'!$C$54)</f>
        <v>2.5</v>
      </c>
      <c r="I42" s="852">
        <f>IF('PPA Assumptions &amp; Summary'!I4&gt;ProjectLife+1,0,'Project Assumptions'!$C$54)</f>
        <v>2.5</v>
      </c>
      <c r="J42" s="852">
        <f>IF('PPA Assumptions &amp; Summary'!J4&gt;ProjectLife+1,0,'Project Assumptions'!$C$54)</f>
        <v>2.5</v>
      </c>
      <c r="K42" s="852">
        <f>IF('PPA Assumptions &amp; Summary'!K4&gt;ProjectLife+1,0,'Project Assumptions'!$C$54)</f>
        <v>2.5</v>
      </c>
      <c r="L42" s="852">
        <f>IF('PPA Assumptions &amp; Summary'!L4&gt;ProjectLife+1,0,'Project Assumptions'!$C$54)</f>
        <v>2.5</v>
      </c>
      <c r="M42" s="852">
        <f>IF('PPA Assumptions &amp; Summary'!M4&gt;ProjectLife+1,0,'Project Assumptions'!$C$54)</f>
        <v>2.5</v>
      </c>
      <c r="N42" s="852">
        <f>IF('PPA Assumptions &amp; Summary'!N4&gt;ProjectLife+1,0,'Project Assumptions'!$C$54)</f>
        <v>2.5</v>
      </c>
      <c r="O42" s="852">
        <f>IF('PPA Assumptions &amp; Summary'!O4&gt;ProjectLife+1,0,'Project Assumptions'!$C$54)</f>
        <v>2.5</v>
      </c>
      <c r="P42" s="852">
        <f>IF('PPA Assumptions &amp; Summary'!P4&gt;ProjectLife+1,0,'Project Assumptions'!$C$54)</f>
        <v>2.5</v>
      </c>
      <c r="Q42" s="852">
        <f>IF('PPA Assumptions &amp; Summary'!Q4&gt;ProjectLife+1,0,'Project Assumptions'!$C$54)</f>
        <v>2.5</v>
      </c>
      <c r="R42" s="852">
        <f>IF('PPA Assumptions &amp; Summary'!R4&gt;ProjectLife+1,0,'Project Assumptions'!$C$54)</f>
        <v>2.5</v>
      </c>
      <c r="S42" s="852">
        <f>IF('PPA Assumptions &amp; Summary'!S4&gt;ProjectLife+1,0,'Project Assumptions'!$C$54)</f>
        <v>2.5</v>
      </c>
      <c r="T42" s="852">
        <f>IF('PPA Assumptions &amp; Summary'!T4&gt;ProjectLife+1,0,'Project Assumptions'!$C$54)</f>
        <v>2.5</v>
      </c>
      <c r="U42" s="852">
        <f>IF('PPA Assumptions &amp; Summary'!U4&gt;ProjectLife+1,0,'Project Assumptions'!$C$54)</f>
        <v>2.5</v>
      </c>
      <c r="V42" s="852">
        <f>IF('PPA Assumptions &amp; Summary'!V4&gt;ProjectLife+1,0,'Project Assumptions'!$C$54)</f>
        <v>2.5</v>
      </c>
      <c r="W42" s="853">
        <f>IF('PPA Assumptions &amp; Summary'!W4&gt;ProjectLife+1,0,'Project Assumptions'!$C$54)</f>
        <v>2.5</v>
      </c>
      <c r="X42" s="489"/>
      <c r="Y42" s="111"/>
      <c r="Z42" s="111"/>
      <c r="AB42" s="98"/>
    </row>
    <row r="43" spans="1:28" s="7" customFormat="1" ht="12.6" customHeight="1">
      <c r="A43" s="785" t="s">
        <v>233</v>
      </c>
      <c r="B43" s="654"/>
      <c r="C43" s="688">
        <f>IF('PPA Assumptions &amp; Summary'!C4&gt;ProjectLife,0,IF('Project Assumptions'!$N$69&gt;0,'Project Assumptions'!$N$69,0))</f>
        <v>1.4999999999999999E-2</v>
      </c>
      <c r="D43" s="688">
        <f>IF('PPA Assumptions &amp; Summary'!D4&gt;ProjectLife,0,IF('Project Assumptions'!$N$69&gt;0,'Project Assumptions'!$N$69,0))</f>
        <v>1.4999999999999999E-2</v>
      </c>
      <c r="E43" s="688">
        <f>IF('PPA Assumptions &amp; Summary'!E4&gt;ProjectLife,0,IF('Project Assumptions'!$N$69&gt;0,'Project Assumptions'!$N$69,0))</f>
        <v>1.4999999999999999E-2</v>
      </c>
      <c r="F43" s="688">
        <f>IF('PPA Assumptions &amp; Summary'!F4&gt;ProjectLife,0,IF('Project Assumptions'!$N$69&gt;0,'Project Assumptions'!$N$69,0))</f>
        <v>1.4999999999999999E-2</v>
      </c>
      <c r="G43" s="688">
        <f>IF('PPA Assumptions &amp; Summary'!G4&gt;ProjectLife,0,IF('Project Assumptions'!$N$69&gt;0,'Project Assumptions'!$N$69,0))</f>
        <v>1.4999999999999999E-2</v>
      </c>
      <c r="H43" s="688">
        <f>IF('PPA Assumptions &amp; Summary'!H4&gt;ProjectLife,0,IF('Project Assumptions'!$N$69&gt;0,'Project Assumptions'!$N$69,0))</f>
        <v>1.4999999999999999E-2</v>
      </c>
      <c r="I43" s="688">
        <f>IF('PPA Assumptions &amp; Summary'!I4&gt;ProjectLife,0,IF('Project Assumptions'!$N$69&gt;0,'Project Assumptions'!$N$69,0))</f>
        <v>1.4999999999999999E-2</v>
      </c>
      <c r="J43" s="688">
        <f>IF('PPA Assumptions &amp; Summary'!J4&gt;ProjectLife,0,IF('Project Assumptions'!$N$69&gt;0,'Project Assumptions'!$N$69,0))</f>
        <v>1.4999999999999999E-2</v>
      </c>
      <c r="K43" s="688">
        <f>IF('PPA Assumptions &amp; Summary'!K4&gt;ProjectLife,0,IF('Project Assumptions'!$N$69&gt;0,'Project Assumptions'!$N$69,0))</f>
        <v>1.4999999999999999E-2</v>
      </c>
      <c r="L43" s="688">
        <f>IF('PPA Assumptions &amp; Summary'!L4&gt;ProjectLife,0,IF('Project Assumptions'!$N$69&gt;0,'Project Assumptions'!$N$69,0))</f>
        <v>1.4999999999999999E-2</v>
      </c>
      <c r="M43" s="688">
        <f>IF('PPA Assumptions &amp; Summary'!M4&gt;ProjectLife,0,IF('Project Assumptions'!$N$69&gt;0,'Project Assumptions'!$N$69,0))</f>
        <v>1.4999999999999999E-2</v>
      </c>
      <c r="N43" s="688">
        <f>IF('PPA Assumptions &amp; Summary'!N4&gt;ProjectLife,0,IF('Project Assumptions'!$N$69&gt;0,'Project Assumptions'!$N$69,0))</f>
        <v>1.4999999999999999E-2</v>
      </c>
      <c r="O43" s="688">
        <f>IF('PPA Assumptions &amp; Summary'!O4&gt;ProjectLife,0,IF('Project Assumptions'!$N$69&gt;0,'Project Assumptions'!$N$69,0))</f>
        <v>1.4999999999999999E-2</v>
      </c>
      <c r="P43" s="688">
        <f>IF('PPA Assumptions &amp; Summary'!P4&gt;ProjectLife,0,IF('Project Assumptions'!$N$69&gt;0,'Project Assumptions'!$N$69,0))</f>
        <v>1.4999999999999999E-2</v>
      </c>
      <c r="Q43" s="688">
        <f>IF('PPA Assumptions &amp; Summary'!Q4&gt;ProjectLife,0,IF('Project Assumptions'!$N$69&gt;0,'Project Assumptions'!$N$69,0))</f>
        <v>1.4999999999999999E-2</v>
      </c>
      <c r="R43" s="688">
        <f>IF('PPA Assumptions &amp; Summary'!R4&gt;ProjectLife,0,IF('Project Assumptions'!$N$69&gt;0,'Project Assumptions'!$N$69,0))</f>
        <v>1.4999999999999999E-2</v>
      </c>
      <c r="S43" s="688">
        <f>IF('PPA Assumptions &amp; Summary'!S4&gt;ProjectLife,0,IF('Project Assumptions'!$N$69&gt;0,'Project Assumptions'!$N$69,0))</f>
        <v>1.4999999999999999E-2</v>
      </c>
      <c r="T43" s="688">
        <f>IF('PPA Assumptions &amp; Summary'!T4&gt;ProjectLife,0,IF('Project Assumptions'!$N$69&gt;0,'Project Assumptions'!$N$69,0))</f>
        <v>1.4999999999999999E-2</v>
      </c>
      <c r="U43" s="688">
        <f>IF('PPA Assumptions &amp; Summary'!U4&gt;ProjectLife,0,IF('Project Assumptions'!$N$69&gt;0,'Project Assumptions'!$N$69,0))</f>
        <v>1.4999999999999999E-2</v>
      </c>
      <c r="V43" s="688">
        <f>IF('PPA Assumptions &amp; Summary'!V4&gt;ProjectLife,0,IF('Project Assumptions'!$N$69&gt;0,'Project Assumptions'!$N$69,0))</f>
        <v>1.4999999999999999E-2</v>
      </c>
      <c r="W43" s="854">
        <f>IF('PPA Assumptions &amp; Summary'!W4&gt;ProjectLife+1,0,IF('Project Assumptions'!$N$69&gt;0,'Project Assumptions'!$N$69,0))</f>
        <v>1.4999999999999999E-2</v>
      </c>
      <c r="X43" s="490"/>
      <c r="Y43" s="112"/>
      <c r="Z43" s="112"/>
    </row>
    <row r="44" spans="1:28" s="7" customFormat="1" ht="12.6" customHeight="1">
      <c r="A44" s="785" t="s">
        <v>234</v>
      </c>
      <c r="B44" s="654"/>
      <c r="C44" s="855">
        <f>IF(AND('Project Assumptions'!$C$53="Fixed",C43&gt;0),C42*(1+C43),IF(AND('Project Assumptions'!$C$53="Index",C43&gt;0),C41*(1+C43),IF('Project Assumptions'!$C$53="Fixed",C42,C41)))</f>
        <v>2.5374999999999996</v>
      </c>
      <c r="D44" s="855">
        <f>IF(AND('Project Assumptions'!$C$53="Fixed",D43&gt;0),D42*(1+D43),IF(AND('Project Assumptions'!$C$53="Index",D43&gt;0),D41*(1+D43),IF('Project Assumptions'!$C$53="Fixed",D42,D41)))</f>
        <v>2.5374999999999996</v>
      </c>
      <c r="E44" s="855">
        <f>IF(AND('Project Assumptions'!$C$53="Fixed",E43&gt;0),E42*(1+E43),IF(AND('Project Assumptions'!$C$53="Index",E43&gt;0),E41*(1+E43),IF('Project Assumptions'!$C$53="Fixed",E42,E41)))</f>
        <v>2.5374999999999996</v>
      </c>
      <c r="F44" s="855">
        <f>IF(AND('Project Assumptions'!$C$53="Fixed",F43&gt;0),F42*(1+F43),IF(AND('Project Assumptions'!$C$53="Index",F43&gt;0),F41*(1+F43),IF('Project Assumptions'!$C$53="Fixed",F42,F41)))</f>
        <v>2.5374999999999996</v>
      </c>
      <c r="G44" s="855">
        <f>IF(AND('Project Assumptions'!$C$53="Fixed",G43&gt;0),G42*(1+G43),IF(AND('Project Assumptions'!$C$53="Index",G43&gt;0),G41*(1+G43),IF('Project Assumptions'!$C$53="Fixed",G42,G41)))</f>
        <v>2.5374999999999996</v>
      </c>
      <c r="H44" s="855">
        <f>IF(AND('Project Assumptions'!$C$53="Fixed",H43&gt;0),H42*(1+H43),IF(AND('Project Assumptions'!$C$53="Index",H43&gt;0),H41*(1+H43),IF('Project Assumptions'!$C$53="Fixed",H42,H41)))</f>
        <v>2.5374999999999996</v>
      </c>
      <c r="I44" s="855">
        <f>IF(AND('Project Assumptions'!$C$53="Fixed",I43&gt;0),I42*(1+I43),IF(AND('Project Assumptions'!$C$53="Index",I43&gt;0),I41*(1+I43),IF('Project Assumptions'!$C$53="Fixed",I42,I41)))</f>
        <v>2.5374999999999996</v>
      </c>
      <c r="J44" s="855">
        <f>IF(AND('Project Assumptions'!$C$53="Fixed",J43&gt;0),J42*(1+J43),IF(AND('Project Assumptions'!$C$53="Index",J43&gt;0),J41*(1+J43),IF('Project Assumptions'!$C$53="Fixed",J42,J41)))</f>
        <v>2.5374999999999996</v>
      </c>
      <c r="K44" s="855">
        <f>IF(AND('Project Assumptions'!$C$53="Fixed",K43&gt;0),K42*(1+K43),IF(AND('Project Assumptions'!$C$53="Index",K43&gt;0),K41*(1+K43),IF('Project Assumptions'!$C$53="Fixed",K42,K41)))</f>
        <v>2.5374999999999996</v>
      </c>
      <c r="L44" s="855">
        <f>IF(AND('Project Assumptions'!$C$53="Fixed",L43&gt;0),L42*(1+L43),IF(AND('Project Assumptions'!$C$53="Index",L43&gt;0),L41*(1+L43),IF('Project Assumptions'!$C$53="Fixed",L42,L41)))</f>
        <v>2.5374999999999996</v>
      </c>
      <c r="M44" s="855">
        <f>IF(AND('Project Assumptions'!$C$53="Fixed",M43&gt;0),M42*(1+M43),IF(AND('Project Assumptions'!$C$53="Index",M43&gt;0),M41*(1+M43),IF('Project Assumptions'!$C$53="Fixed",M42,M41)))</f>
        <v>2.5374999999999996</v>
      </c>
      <c r="N44" s="855">
        <f>IF(AND('Project Assumptions'!$C$53="Fixed",N43&gt;0),N42*(1+N43),IF(AND('Project Assumptions'!$C$53="Index",N43&gt;0),N41*(1+N43),IF('Project Assumptions'!$C$53="Fixed",N42,N41)))</f>
        <v>2.5374999999999996</v>
      </c>
      <c r="O44" s="855">
        <f>IF(AND('Project Assumptions'!$C$53="Fixed",O43&gt;0),O42*(1+O43),IF(AND('Project Assumptions'!$C$53="Index",O43&gt;0),O41*(1+O43),IF('Project Assumptions'!$C$53="Fixed",O42,O41)))</f>
        <v>2.5374999999999996</v>
      </c>
      <c r="P44" s="855">
        <f>IF(AND('Project Assumptions'!$C$53="Fixed",P43&gt;0),P42*(1+P43),IF(AND('Project Assumptions'!$C$53="Index",P43&gt;0),P41*(1+P43),IF('Project Assumptions'!$C$53="Fixed",P42,P41)))</f>
        <v>2.5374999999999996</v>
      </c>
      <c r="Q44" s="855">
        <f>IF(AND('Project Assumptions'!$C$53="Fixed",Q43&gt;0),Q42*(1+Q43),IF(AND('Project Assumptions'!$C$53="Index",Q43&gt;0),Q41*(1+Q43),IF('Project Assumptions'!$C$53="Fixed",Q42,Q41)))</f>
        <v>2.5374999999999996</v>
      </c>
      <c r="R44" s="855">
        <f>IF(AND('Project Assumptions'!$C$53="Fixed",R43&gt;0),R42*(1+R43),IF(AND('Project Assumptions'!$C$53="Index",R43&gt;0),R41*(1+R43),IF('Project Assumptions'!$C$53="Fixed",R42,R41)))</f>
        <v>2.5374999999999996</v>
      </c>
      <c r="S44" s="855">
        <f>IF(AND('Project Assumptions'!$C$53="Fixed",S43&gt;0),S42*(1+S43),IF(AND('Project Assumptions'!$C$53="Index",S43&gt;0),S41*(1+S43),IF('Project Assumptions'!$C$53="Fixed",S42,S41)))</f>
        <v>2.5374999999999996</v>
      </c>
      <c r="T44" s="855">
        <f>IF(AND('Project Assumptions'!$C$53="Fixed",T43&gt;0),T42*(1+T43),IF(AND('Project Assumptions'!$C$53="Index",T43&gt;0),T41*(1+T43),IF('Project Assumptions'!$C$53="Fixed",T42,T41)))</f>
        <v>2.5374999999999996</v>
      </c>
      <c r="U44" s="855">
        <f>IF(AND('Project Assumptions'!$C$53="Fixed",U43&gt;0),U42*(1+U43),IF(AND('Project Assumptions'!$C$53="Index",U43&gt;0),U41*(1+U43),IF('Project Assumptions'!$C$53="Fixed",U42,U41)))</f>
        <v>2.5374999999999996</v>
      </c>
      <c r="V44" s="855">
        <f>IF(AND('Project Assumptions'!$C$53="Fixed",V43&gt;0),V42*(1+V43),IF(AND('Project Assumptions'!$C$53="Index",V43&gt;0),V41*(1+V43),IF('Project Assumptions'!$C$53="Fixed",V42,V41)))</f>
        <v>2.5374999999999996</v>
      </c>
      <c r="W44" s="856">
        <f>IF(AND('Project Assumptions'!$C$53="Fixed",W43&gt;0),W42*(1+W43),IF(AND('Project Assumptions'!$C$53="Index",W43&gt;0),W41*(1+W43),IF('Project Assumptions'!$C$53="Fixed",W42,W41)))</f>
        <v>2.5374999999999996</v>
      </c>
      <c r="X44" s="491"/>
      <c r="Y44" s="138"/>
      <c r="Z44" s="138"/>
    </row>
    <row r="45" spans="1:28" s="7" customFormat="1" ht="12.6" customHeight="1">
      <c r="A45" s="785"/>
      <c r="B45" s="654"/>
      <c r="C45" s="855"/>
      <c r="D45" s="855"/>
      <c r="E45" s="855"/>
      <c r="F45" s="855"/>
      <c r="G45" s="855"/>
      <c r="H45" s="855"/>
      <c r="I45" s="855"/>
      <c r="J45" s="855"/>
      <c r="K45" s="855"/>
      <c r="L45" s="855"/>
      <c r="M45" s="855"/>
      <c r="N45" s="855"/>
      <c r="O45" s="855"/>
      <c r="P45" s="855"/>
      <c r="Q45" s="855"/>
      <c r="R45" s="855"/>
      <c r="S45" s="855"/>
      <c r="T45" s="855"/>
      <c r="U45" s="855"/>
      <c r="V45" s="855"/>
      <c r="W45" s="856"/>
      <c r="X45" s="491"/>
      <c r="Y45" s="138"/>
      <c r="Z45" s="138"/>
    </row>
    <row r="46" spans="1:28" s="3" customFormat="1" ht="12.6" customHeight="1">
      <c r="A46" s="652" t="s">
        <v>218</v>
      </c>
      <c r="B46" s="646"/>
      <c r="C46" s="852">
        <v>21.1797</v>
      </c>
      <c r="D46" s="852">
        <v>22.012950000000004</v>
      </c>
      <c r="E46" s="852">
        <v>23.558250000000001</v>
      </c>
      <c r="F46" s="852">
        <v>24.588449999999998</v>
      </c>
      <c r="G46" s="852">
        <v>26.462</v>
      </c>
      <c r="H46" s="852">
        <v>29.110725000000002</v>
      </c>
      <c r="I46" s="852">
        <v>31.221625000000003</v>
      </c>
      <c r="J46" s="852">
        <v>32.913375000000002</v>
      </c>
      <c r="K46" s="852">
        <v>31.893274999999999</v>
      </c>
      <c r="L46" s="852">
        <v>34.744</v>
      </c>
      <c r="M46" s="852">
        <v>38.104774999999997</v>
      </c>
      <c r="N46" s="852">
        <v>40.056599999999996</v>
      </c>
      <c r="O46" s="852">
        <v>39.882374999999996</v>
      </c>
      <c r="P46" s="852">
        <v>39.331925000000005</v>
      </c>
      <c r="Q46" s="852">
        <v>46.321124999999995</v>
      </c>
      <c r="R46" s="852">
        <v>44.642000000000003</v>
      </c>
      <c r="S46" s="852">
        <v>50.891375000000004</v>
      </c>
      <c r="T46" s="852">
        <v>50.096000000000004</v>
      </c>
      <c r="U46" s="852">
        <v>49.431925</v>
      </c>
      <c r="V46" s="852">
        <v>56.320125000000004</v>
      </c>
      <c r="W46" s="853">
        <v>56.320125000000004</v>
      </c>
      <c r="X46" s="489"/>
      <c r="Y46" s="111"/>
      <c r="Z46" s="111"/>
    </row>
    <row r="47" spans="1:28">
      <c r="A47" s="788" t="s">
        <v>219</v>
      </c>
      <c r="B47" s="632"/>
      <c r="C47" s="857" t="str">
        <f>IF('PPA Assumptions &amp; Summary'!C4&gt;ProjectLife,'Project Assumptions'!$C$61,"")</f>
        <v/>
      </c>
      <c r="D47" s="857" t="str">
        <f>IF('PPA Assumptions &amp; Summary'!D4&gt;ProjectLife,'Project Assumptions'!$C$61,"")</f>
        <v/>
      </c>
      <c r="E47" s="857" t="str">
        <f>IF('PPA Assumptions &amp; Summary'!E4&gt;ProjectLife,'Project Assumptions'!$C$61,"")</f>
        <v/>
      </c>
      <c r="F47" s="857" t="str">
        <f>IF('PPA Assumptions &amp; Summary'!F4&gt;ProjectLife,'Project Assumptions'!$C$61,"")</f>
        <v/>
      </c>
      <c r="G47" s="857" t="str">
        <f>IF('PPA Assumptions &amp; Summary'!G4&gt;ProjectLife,'Project Assumptions'!$C$61,"")</f>
        <v/>
      </c>
      <c r="H47" s="857" t="str">
        <f>IF('PPA Assumptions &amp; Summary'!H4&gt;ProjectLife,'Project Assumptions'!$C$61,"")</f>
        <v/>
      </c>
      <c r="I47" s="857" t="str">
        <f>IF('PPA Assumptions &amp; Summary'!I4&gt;ProjectLife,'Project Assumptions'!$C$61,"")</f>
        <v/>
      </c>
      <c r="J47" s="857" t="str">
        <f>IF('PPA Assumptions &amp; Summary'!J4&gt;ProjectLife,'Project Assumptions'!$C$61,"")</f>
        <v/>
      </c>
      <c r="K47" s="857" t="str">
        <f>IF('PPA Assumptions &amp; Summary'!K4&gt;ProjectLife,'Project Assumptions'!$C$61,"")</f>
        <v/>
      </c>
      <c r="L47" s="857" t="str">
        <f>IF('PPA Assumptions &amp; Summary'!L4&gt;ProjectLife,'Project Assumptions'!$C$61,"")</f>
        <v/>
      </c>
      <c r="M47" s="857" t="str">
        <f>IF('PPA Assumptions &amp; Summary'!M4&gt;ProjectLife,'Project Assumptions'!$C$61,"")</f>
        <v/>
      </c>
      <c r="N47" s="857" t="str">
        <f>IF('PPA Assumptions &amp; Summary'!N4&gt;ProjectLife,'Project Assumptions'!$C$61,"")</f>
        <v/>
      </c>
      <c r="O47" s="857" t="str">
        <f>IF('PPA Assumptions &amp; Summary'!O4&gt;ProjectLife,'Project Assumptions'!$C$61,"")</f>
        <v/>
      </c>
      <c r="P47" s="857" t="str">
        <f>IF('PPA Assumptions &amp; Summary'!P4&gt;ProjectLife,'Project Assumptions'!$C$61,"")</f>
        <v/>
      </c>
      <c r="Q47" s="857" t="str">
        <f>IF('PPA Assumptions &amp; Summary'!Q4&gt;ProjectLife,'Project Assumptions'!$C$61,"")</f>
        <v/>
      </c>
      <c r="R47" s="857" t="str">
        <f>IF('PPA Assumptions &amp; Summary'!R4&gt;ProjectLife,'Project Assumptions'!$C$61,"")</f>
        <v/>
      </c>
      <c r="S47" s="857" t="str">
        <f>IF('PPA Assumptions &amp; Summary'!S4&gt;ProjectLife,'Project Assumptions'!$C$61,"")</f>
        <v/>
      </c>
      <c r="T47" s="857" t="str">
        <f>IF('PPA Assumptions &amp; Summary'!T4&gt;ProjectLife,'Project Assumptions'!$C$61,"")</f>
        <v/>
      </c>
      <c r="U47" s="857" t="str">
        <f>IF('PPA Assumptions &amp; Summary'!U4&gt;ProjectLife,'Project Assumptions'!$C$61,"")</f>
        <v/>
      </c>
      <c r="V47" s="857" t="str">
        <f>IF('PPA Assumptions &amp; Summary'!V4&gt;ProjectLife,'Project Assumptions'!$C$61,"")</f>
        <v/>
      </c>
      <c r="W47" s="858"/>
      <c r="X47" s="489"/>
      <c r="Y47" s="111"/>
      <c r="Z47" s="111"/>
    </row>
    <row r="49" spans="23:25">
      <c r="W49" s="174" t="e">
        <f>'Project Assumptions'!$N$60*'Maintainance Reserves'!W7*Operations!W44/1000*'Project Assumptions'!$I$8</f>
        <v>#VALUE!</v>
      </c>
      <c r="X49" s="174">
        <f>'Project Assumptions'!$N$60*'Maintainance Reserves'!Y7*Operations!X44/1000*'Project Assumptions'!$I$8</f>
        <v>0</v>
      </c>
      <c r="Y49" s="23">
        <f>'Project Assumptions'!$N$60*'Maintainance Reserves'!Z7*Operations!Y44/1000*'Project Assumptions'!$I$8</f>
        <v>0</v>
      </c>
    </row>
    <row r="70" spans="3:10">
      <c r="C70" s="492"/>
      <c r="D70" s="492"/>
      <c r="E70" s="492"/>
      <c r="F70" s="492"/>
      <c r="G70" s="492"/>
      <c r="H70" s="492"/>
      <c r="I70" s="492"/>
      <c r="J70" s="492"/>
    </row>
    <row r="72"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5" right="0.5" top="1" bottom="1" header="0.5" footer="0.5"/>
  <pageSetup scale="52" orientation="landscape" r:id="rId3"/>
  <headerFooter alignWithMargins="0">
    <oddFooter>&amp;L&amp;D   &amp;T&amp;R&amp;F
&amp;A &amp;P</oddFooter>
  </headerFooter>
  <colBreaks count="1" manualBreakCount="1">
    <brk id="22" max="3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3"/>
  <sheetViews>
    <sheetView zoomScaleNormal="100" workbookViewId="0"/>
  </sheetViews>
  <sheetFormatPr defaultRowHeight="12.75"/>
  <cols>
    <col min="1" max="1" width="26" style="163" customWidth="1"/>
    <col min="2" max="3" width="12.42578125" style="163" bestFit="1" customWidth="1"/>
    <col min="4" max="4" width="5.7109375" style="163" bestFit="1" customWidth="1"/>
    <col min="5" max="12" width="11.42578125" style="163" bestFit="1" customWidth="1"/>
    <col min="13" max="13" width="9.85546875" style="163" customWidth="1"/>
    <col min="14" max="28" width="11.42578125" style="163" bestFit="1" customWidth="1"/>
    <col min="29" max="29" width="11.42578125" bestFit="1" customWidth="1"/>
  </cols>
  <sheetData>
    <row r="1" spans="1:53" ht="20.25">
      <c r="A1" s="634" t="str">
        <f>'Project Assumptions'!$A$2</f>
        <v>CALEDONIA, Lowndes County, MS</v>
      </c>
      <c r="B1" s="635"/>
      <c r="C1" s="636"/>
    </row>
    <row r="2" spans="1:53" ht="15.6" customHeight="1">
      <c r="A2" s="637" t="s">
        <v>192</v>
      </c>
      <c r="B2" s="638"/>
      <c r="C2" s="639"/>
      <c r="E2" s="184"/>
    </row>
    <row r="3" spans="1:53" s="98" customFormat="1" ht="12.6" customHeight="1">
      <c r="A3" s="169"/>
      <c r="B3" s="170"/>
      <c r="C3" s="170"/>
      <c r="D3" s="170"/>
      <c r="E3" s="442">
        <v>0.5</v>
      </c>
      <c r="F3" s="493">
        <f>E3+1</f>
        <v>1.5</v>
      </c>
      <c r="G3" s="493">
        <f t="shared" ref="G3:Y3" si="0">F3+1</f>
        <v>2.5</v>
      </c>
      <c r="H3" s="493">
        <f t="shared" si="0"/>
        <v>3.5</v>
      </c>
      <c r="I3" s="493">
        <f t="shared" si="0"/>
        <v>4.5</v>
      </c>
      <c r="J3" s="493">
        <f t="shared" si="0"/>
        <v>5.5</v>
      </c>
      <c r="K3" s="493">
        <f t="shared" si="0"/>
        <v>6.5</v>
      </c>
      <c r="L3" s="493">
        <f t="shared" si="0"/>
        <v>7.5</v>
      </c>
      <c r="M3" s="493">
        <f t="shared" si="0"/>
        <v>8.5</v>
      </c>
      <c r="N3" s="493">
        <f t="shared" si="0"/>
        <v>9.5</v>
      </c>
      <c r="O3" s="493">
        <f t="shared" si="0"/>
        <v>10.5</v>
      </c>
      <c r="P3" s="493">
        <f t="shared" si="0"/>
        <v>11.5</v>
      </c>
      <c r="Q3" s="493">
        <f t="shared" si="0"/>
        <v>12.5</v>
      </c>
      <c r="R3" s="493">
        <f t="shared" si="0"/>
        <v>13.5</v>
      </c>
      <c r="S3" s="493">
        <f t="shared" si="0"/>
        <v>14.5</v>
      </c>
      <c r="T3" s="493">
        <f t="shared" si="0"/>
        <v>15.5</v>
      </c>
      <c r="U3" s="493">
        <f t="shared" si="0"/>
        <v>16.5</v>
      </c>
      <c r="V3" s="493">
        <f t="shared" si="0"/>
        <v>17.5</v>
      </c>
      <c r="W3" s="493">
        <f t="shared" si="0"/>
        <v>18.5</v>
      </c>
      <c r="X3" s="493">
        <f t="shared" si="0"/>
        <v>19.5</v>
      </c>
      <c r="Y3" s="493">
        <f t="shared" si="0"/>
        <v>20.5</v>
      </c>
      <c r="Z3" s="170"/>
      <c r="AA3" s="170"/>
      <c r="AB3" s="170"/>
    </row>
    <row r="4" spans="1:53" ht="12.6" customHeight="1">
      <c r="A4" s="640"/>
      <c r="B4" s="641"/>
      <c r="C4" s="641"/>
      <c r="D4" s="642"/>
      <c r="E4" s="642">
        <f>'Book Income Statement'!D3</f>
        <v>1</v>
      </c>
      <c r="F4" s="642">
        <f>'Book Income Statement'!E3</f>
        <v>2</v>
      </c>
      <c r="G4" s="642">
        <f>'Book Income Statement'!F3</f>
        <v>3</v>
      </c>
      <c r="H4" s="642">
        <f>'Book Income Statement'!G3</f>
        <v>4</v>
      </c>
      <c r="I4" s="642">
        <f>'Book Income Statement'!H3</f>
        <v>5</v>
      </c>
      <c r="J4" s="642">
        <f>'Book Income Statement'!I3</f>
        <v>6</v>
      </c>
      <c r="K4" s="642">
        <f>'Book Income Statement'!J3</f>
        <v>7</v>
      </c>
      <c r="L4" s="642">
        <f>'Book Income Statement'!K3</f>
        <v>8</v>
      </c>
      <c r="M4" s="642">
        <f>'Book Income Statement'!L3</f>
        <v>9</v>
      </c>
      <c r="N4" s="642">
        <f>'Book Income Statement'!M3</f>
        <v>10</v>
      </c>
      <c r="O4" s="642">
        <f>'Book Income Statement'!N3</f>
        <v>11</v>
      </c>
      <c r="P4" s="642">
        <f>'Book Income Statement'!O3</f>
        <v>12</v>
      </c>
      <c r="Q4" s="642">
        <f>'Book Income Statement'!P3</f>
        <v>13</v>
      </c>
      <c r="R4" s="642">
        <f>'Book Income Statement'!Q3</f>
        <v>14</v>
      </c>
      <c r="S4" s="642">
        <f>'Book Income Statement'!R3</f>
        <v>15</v>
      </c>
      <c r="T4" s="642">
        <f>'Book Income Statement'!S3</f>
        <v>16</v>
      </c>
      <c r="U4" s="642">
        <f>'Book Income Statement'!T3</f>
        <v>17</v>
      </c>
      <c r="V4" s="642">
        <f>'Book Income Statement'!U3</f>
        <v>18</v>
      </c>
      <c r="W4" s="642">
        <f>'Book Income Statement'!V3</f>
        <v>19</v>
      </c>
      <c r="X4" s="642">
        <f>'Book Income Statement'!W3</f>
        <v>20</v>
      </c>
      <c r="Y4" s="643">
        <f>'Book Income Statement'!X3</f>
        <v>21</v>
      </c>
      <c r="Z4" s="184"/>
      <c r="AA4" s="184"/>
      <c r="AB4" s="184"/>
      <c r="AC4" s="3"/>
    </row>
    <row r="5" spans="1:53" s="1" customFormat="1" ht="12.6" customHeight="1">
      <c r="A5" s="644"/>
      <c r="B5" s="645"/>
      <c r="C5" s="646"/>
      <c r="D5" s="646"/>
      <c r="E5" s="724">
        <f>YEAR('Project Assumptions'!$I$17)</f>
        <v>1999</v>
      </c>
      <c r="F5" s="724">
        <f>E5+1</f>
        <v>2000</v>
      </c>
      <c r="G5" s="724">
        <f t="shared" ref="G5:Y5" si="1">F5+1</f>
        <v>2001</v>
      </c>
      <c r="H5" s="724">
        <f t="shared" si="1"/>
        <v>2002</v>
      </c>
      <c r="I5" s="724">
        <f t="shared" si="1"/>
        <v>2003</v>
      </c>
      <c r="J5" s="724">
        <f t="shared" si="1"/>
        <v>2004</v>
      </c>
      <c r="K5" s="724">
        <f t="shared" si="1"/>
        <v>2005</v>
      </c>
      <c r="L5" s="724">
        <f t="shared" si="1"/>
        <v>2006</v>
      </c>
      <c r="M5" s="724">
        <f t="shared" si="1"/>
        <v>2007</v>
      </c>
      <c r="N5" s="724">
        <f t="shared" si="1"/>
        <v>2008</v>
      </c>
      <c r="O5" s="724">
        <f t="shared" si="1"/>
        <v>2009</v>
      </c>
      <c r="P5" s="724">
        <f t="shared" si="1"/>
        <v>2010</v>
      </c>
      <c r="Q5" s="724">
        <f t="shared" si="1"/>
        <v>2011</v>
      </c>
      <c r="R5" s="724">
        <f t="shared" si="1"/>
        <v>2012</v>
      </c>
      <c r="S5" s="724">
        <f t="shared" si="1"/>
        <v>2013</v>
      </c>
      <c r="T5" s="724">
        <f t="shared" si="1"/>
        <v>2014</v>
      </c>
      <c r="U5" s="724">
        <f t="shared" si="1"/>
        <v>2015</v>
      </c>
      <c r="V5" s="724">
        <f t="shared" si="1"/>
        <v>2016</v>
      </c>
      <c r="W5" s="724">
        <f t="shared" si="1"/>
        <v>2017</v>
      </c>
      <c r="X5" s="724">
        <f t="shared" si="1"/>
        <v>2018</v>
      </c>
      <c r="Y5" s="725">
        <f t="shared" si="1"/>
        <v>2019</v>
      </c>
      <c r="Z5" s="494"/>
      <c r="AA5" s="494"/>
      <c r="AB5" s="494"/>
      <c r="AC5" s="134"/>
      <c r="AD5" s="39"/>
      <c r="AE5" s="39"/>
      <c r="AF5" s="39"/>
      <c r="AG5" s="39"/>
      <c r="AH5" s="39"/>
      <c r="AI5" s="39"/>
      <c r="AJ5" s="39"/>
      <c r="AK5" s="39"/>
      <c r="AL5" s="39"/>
      <c r="AM5" s="39"/>
      <c r="AN5" s="39"/>
      <c r="AO5" s="39"/>
      <c r="AP5" s="39"/>
      <c r="AQ5" s="39"/>
      <c r="AR5" s="39"/>
      <c r="AS5" s="39"/>
      <c r="AT5" s="39"/>
      <c r="AU5" s="39"/>
      <c r="AV5" s="39"/>
      <c r="AW5" s="39"/>
      <c r="AX5" s="39"/>
      <c r="AY5" s="39"/>
      <c r="AZ5" s="39"/>
      <c r="BA5" s="39"/>
    </row>
    <row r="6" spans="1:53" s="125" customFormat="1" ht="12.6" customHeight="1">
      <c r="A6" s="647" t="s">
        <v>3</v>
      </c>
      <c r="B6" s="648"/>
      <c r="C6" s="648"/>
      <c r="D6" s="649"/>
      <c r="E6" s="650">
        <f>'Book Income Statement'!D61</f>
        <v>8065.3165214705841</v>
      </c>
      <c r="F6" s="650">
        <f>'Book Income Statement'!E61</f>
        <v>19235.428289961183</v>
      </c>
      <c r="G6" s="650">
        <f>'Book Income Statement'!F61</f>
        <v>19490.980265740011</v>
      </c>
      <c r="H6" s="650">
        <f>'Book Income Statement'!G61</f>
        <v>19444.865974308334</v>
      </c>
      <c r="I6" s="650">
        <f>'Book Income Statement'!H61</f>
        <v>25069.793729964076</v>
      </c>
      <c r="J6" s="650">
        <f>'Book Income Statement'!I61</f>
        <v>29449.203233182961</v>
      </c>
      <c r="K6" s="650">
        <f>'Book Income Statement'!J61</f>
        <v>29763.7241658887</v>
      </c>
      <c r="L6" s="650">
        <f>'Book Income Statement'!K61</f>
        <v>30075.049878797887</v>
      </c>
      <c r="M6" s="650">
        <f>'Book Income Statement'!L61</f>
        <v>31007.898898001091</v>
      </c>
      <c r="N6" s="650">
        <f>'Book Income Statement'!M61</f>
        <v>31318.238992446946</v>
      </c>
      <c r="O6" s="650">
        <f>'Book Income Statement'!N61</f>
        <v>32292.932313672438</v>
      </c>
      <c r="P6" s="650">
        <f>'Book Income Statement'!O61</f>
        <v>31807.837359711353</v>
      </c>
      <c r="Q6" s="650">
        <f>'Book Income Statement'!P61</f>
        <v>32880.869021565675</v>
      </c>
      <c r="R6" s="650">
        <f>'Book Income Statement'!Q61</f>
        <v>33268.661484746095</v>
      </c>
      <c r="S6" s="650">
        <f>'Book Income Statement'!R61</f>
        <v>33643.145025244346</v>
      </c>
      <c r="T6" s="650">
        <f>'Book Income Statement'!S61</f>
        <v>34003.261957633273</v>
      </c>
      <c r="U6" s="650">
        <f>'Book Income Statement'!T61</f>
        <v>34381.185761776818</v>
      </c>
      <c r="V6" s="650">
        <f>'Book Income Statement'!U61</f>
        <v>34759.112324795438</v>
      </c>
      <c r="W6" s="650">
        <f>'Book Income Statement'!V61</f>
        <v>35119.181694687373</v>
      </c>
      <c r="X6" s="650">
        <f>'Book Income Statement'!W61</f>
        <v>35360.269155525275</v>
      </c>
      <c r="Y6" s="651">
        <f>'Book Income Statement'!X61</f>
        <v>35530.961374348</v>
      </c>
      <c r="Z6" s="495"/>
      <c r="AA6" s="495"/>
      <c r="AB6" s="495"/>
      <c r="AC6" s="126"/>
      <c r="AF6" s="121"/>
    </row>
    <row r="7" spans="1:53" s="27" customFormat="1" ht="12.6" customHeight="1">
      <c r="A7" s="652"/>
      <c r="B7" s="653"/>
      <c r="C7" s="646"/>
      <c r="D7" s="654"/>
      <c r="E7" s="654"/>
      <c r="F7" s="654"/>
      <c r="G7" s="654"/>
      <c r="H7" s="654"/>
      <c r="I7" s="654"/>
      <c r="J7" s="654"/>
      <c r="K7" s="654"/>
      <c r="L7" s="654"/>
      <c r="M7" s="654"/>
      <c r="N7" s="654"/>
      <c r="O7" s="654"/>
      <c r="P7" s="654"/>
      <c r="Q7" s="654"/>
      <c r="R7" s="654"/>
      <c r="S7" s="654"/>
      <c r="T7" s="654"/>
      <c r="U7" s="654"/>
      <c r="V7" s="654"/>
      <c r="W7" s="654"/>
      <c r="X7" s="654"/>
      <c r="Y7" s="655"/>
      <c r="Z7" s="186"/>
      <c r="AA7" s="186"/>
      <c r="AB7" s="186"/>
      <c r="AE7" s="121"/>
    </row>
    <row r="8" spans="1:53" s="120" customFormat="1">
      <c r="A8" s="656" t="s">
        <v>193</v>
      </c>
      <c r="B8" s="657"/>
      <c r="C8" s="657"/>
      <c r="D8" s="657"/>
      <c r="E8" s="658">
        <f>IF(E4&lt;=PPAterm,'Project Assumptions'!$F$42,0)</f>
        <v>1.5</v>
      </c>
      <c r="F8" s="658">
        <f>IF(F4&lt;=PPAterm,'Project Assumptions'!$F$42,0)</f>
        <v>1.5</v>
      </c>
      <c r="G8" s="658">
        <f>IF(G4&lt;=PPAterm,'Project Assumptions'!$F$42,0)</f>
        <v>1.5</v>
      </c>
      <c r="H8" s="658">
        <f>IF(H4&lt;=PPAterm,'Project Assumptions'!$F$42,0)</f>
        <v>1.5</v>
      </c>
      <c r="I8" s="658">
        <f>IF(I4&lt;=PPAterm,'Project Assumptions'!$F$42,0)</f>
        <v>0</v>
      </c>
      <c r="J8" s="658">
        <f>IF(J4&lt;=PPAterm,'Project Assumptions'!$F$42,0)</f>
        <v>0</v>
      </c>
      <c r="K8" s="658">
        <f>IF(K4&lt;=PPAterm,'Project Assumptions'!$F$42,0)</f>
        <v>0</v>
      </c>
      <c r="L8" s="658">
        <f>IF(L4&lt;=PPAterm,'Project Assumptions'!$F$42,0)</f>
        <v>0</v>
      </c>
      <c r="M8" s="658">
        <f>IF(M4&lt;=PPAterm,'Project Assumptions'!$F$42,0)</f>
        <v>0</v>
      </c>
      <c r="N8" s="658">
        <f>IF(N4&lt;=PPAterm,'Project Assumptions'!$F$42,0)</f>
        <v>0</v>
      </c>
      <c r="O8" s="658">
        <f>IF(O4&lt;=PPAterm,'Project Assumptions'!$F$42,0)</f>
        <v>0</v>
      </c>
      <c r="P8" s="658">
        <f>IF(P4&lt;=PPAterm,'Project Assumptions'!$F$42,0)</f>
        <v>0</v>
      </c>
      <c r="Q8" s="658">
        <f>IF(Q4&lt;=PPAterm,'Project Assumptions'!$F$42,0)</f>
        <v>0</v>
      </c>
      <c r="R8" s="658">
        <f>IF(R4&lt;=PPAterm,'Project Assumptions'!$F$42,0)</f>
        <v>0</v>
      </c>
      <c r="S8" s="658">
        <f>IF(S4&lt;=PPAterm,'Project Assumptions'!$F$42,0)</f>
        <v>0</v>
      </c>
      <c r="T8" s="658">
        <f>IF(T4&lt;=PPAterm,'Project Assumptions'!$F$42,0)</f>
        <v>0</v>
      </c>
      <c r="U8" s="658">
        <f>IF(U4&lt;=PPAterm,'Project Assumptions'!$F$42,0)</f>
        <v>0</v>
      </c>
      <c r="V8" s="658">
        <f>IF(V4&lt;=PPAterm,'Project Assumptions'!$F$42,0)</f>
        <v>0</v>
      </c>
      <c r="W8" s="658">
        <f>IF(W4&lt;=PPAterm,'Project Assumptions'!$F$42,0)</f>
        <v>0</v>
      </c>
      <c r="X8" s="658">
        <f>IF(X4&lt;=PPAterm,'Project Assumptions'!$F$42,0)</f>
        <v>0</v>
      </c>
      <c r="Y8" s="659">
        <f>IF(Y4&lt;=PPAterm,'Project Assumptions'!$F$42,0)</f>
        <v>0</v>
      </c>
      <c r="Z8" s="497"/>
      <c r="AA8" s="497"/>
      <c r="AB8" s="497"/>
      <c r="AC8" s="127"/>
      <c r="AD8" s="128"/>
    </row>
    <row r="9" spans="1:53" s="120" customFormat="1">
      <c r="A9" s="656" t="s">
        <v>194</v>
      </c>
      <c r="B9" s="657"/>
      <c r="C9" s="657"/>
      <c r="D9" s="657"/>
      <c r="E9" s="658">
        <f>IF(AND(E4&gt;PPAterm,E4&lt;='Project Assumptions'!$G$40),'Project Assumptions'!$G$42,0)</f>
        <v>0</v>
      </c>
      <c r="F9" s="658">
        <f>IF(AND(F4&gt;PPAterm,F4&lt;='Project Assumptions'!$G$40),'Project Assumptions'!$G$42,0)</f>
        <v>0</v>
      </c>
      <c r="G9" s="658">
        <f>IF(AND(G4&gt;PPAterm,G4&lt;='Project Assumptions'!$G$40),'Project Assumptions'!$G$42,0)</f>
        <v>0</v>
      </c>
      <c r="H9" s="658">
        <f>IF(AND(H4&gt;PPAterm,H4&lt;='Project Assumptions'!$G$40),'Project Assumptions'!$G$42,0)</f>
        <v>0</v>
      </c>
      <c r="I9" s="658">
        <f>IF(AND(I4&gt;PPAterm,I4&lt;='Project Assumptions'!$G$40),'Project Assumptions'!$G$42,0)</f>
        <v>2.5</v>
      </c>
      <c r="J9" s="658">
        <f>IF(AND(J4&gt;PPAterm,J4&lt;='Project Assumptions'!$G$40),'Project Assumptions'!$G$42,0)</f>
        <v>2.5</v>
      </c>
      <c r="K9" s="658">
        <f>IF(AND(K4&gt;PPAterm,K4&lt;='Project Assumptions'!$G$40),'Project Assumptions'!$G$42,0)</f>
        <v>2.5</v>
      </c>
      <c r="L9" s="658">
        <f>IF(AND(L4&gt;PPAterm,L4&lt;='Project Assumptions'!$G$40),'Project Assumptions'!$G$42,0)</f>
        <v>2.5</v>
      </c>
      <c r="M9" s="658">
        <f>IF(AND(M4&gt;PPAterm,M4&lt;='Project Assumptions'!$G$40),'Project Assumptions'!$G$42,0)</f>
        <v>2.5</v>
      </c>
      <c r="N9" s="658">
        <f>IF(AND(N4&gt;PPAterm,N4&lt;='Project Assumptions'!$G$40),'Project Assumptions'!$G$42,0)</f>
        <v>2.5</v>
      </c>
      <c r="O9" s="658">
        <f>IF(AND(O4&gt;PPAterm,O4&lt;='Project Assumptions'!$G$40),'Project Assumptions'!$G$42,0)</f>
        <v>0</v>
      </c>
      <c r="P9" s="658">
        <f>IF(AND(P4&gt;PPAterm,P4&lt;='Project Assumptions'!$G$40),'Project Assumptions'!$G$42,0)</f>
        <v>0</v>
      </c>
      <c r="Q9" s="658">
        <f>IF(AND(Q4&gt;PPAterm,Q4&lt;='Project Assumptions'!$G$40),'Project Assumptions'!$G$42,0)</f>
        <v>0</v>
      </c>
      <c r="R9" s="658">
        <f>IF(AND(R4&gt;PPAterm,R4&lt;='Project Assumptions'!$G$40),'Project Assumptions'!$G$42,0)</f>
        <v>0</v>
      </c>
      <c r="S9" s="658">
        <f>IF(AND(S4&gt;PPAterm,S4&lt;='Project Assumptions'!$G$40),'Project Assumptions'!$G$42,0)</f>
        <v>0</v>
      </c>
      <c r="T9" s="658">
        <f>IF(AND(T4&gt;PPAterm,T4&lt;='Project Assumptions'!$G$40),'Project Assumptions'!$G$42,0)</f>
        <v>0</v>
      </c>
      <c r="U9" s="658">
        <f>IF(AND(U4&gt;PPAterm,U4&lt;='Project Assumptions'!$G$40),'Project Assumptions'!$G$42,0)</f>
        <v>0</v>
      </c>
      <c r="V9" s="658">
        <f>IF(AND(V4&gt;PPAterm,V4&lt;='Project Assumptions'!$G$40),'Project Assumptions'!$G$42,0)</f>
        <v>0</v>
      </c>
      <c r="W9" s="658">
        <f>IF(AND(W4&gt;PPAterm,W4&lt;='Project Assumptions'!$G$40),'Project Assumptions'!$G$42,0)</f>
        <v>0</v>
      </c>
      <c r="X9" s="658">
        <f>IF(AND(X4&gt;PPAterm,X4&lt;='Project Assumptions'!$G$40),'Project Assumptions'!$G$42,0)</f>
        <v>0</v>
      </c>
      <c r="Y9" s="659">
        <f>IF(AND(Y4&gt;PPAterm,Y4&lt;='Project Assumptions'!$G$40),'Project Assumptions'!$G$42,0)</f>
        <v>0</v>
      </c>
      <c r="Z9" s="497"/>
      <c r="AA9" s="497"/>
      <c r="AB9" s="497"/>
      <c r="AC9" s="127"/>
      <c r="AD9" s="128"/>
    </row>
    <row r="10" spans="1:53" s="120" customFormat="1">
      <c r="A10" s="656" t="s">
        <v>195</v>
      </c>
      <c r="B10" s="657"/>
      <c r="C10" s="657"/>
      <c r="D10" s="657"/>
      <c r="E10" s="658">
        <f>IF(AND(E4&gt;'Project Assumptions'!$G$40,E4&lt;='Project Assumptions'!$H$40),'Project Assumptions'!$H$42,0)</f>
        <v>0</v>
      </c>
      <c r="F10" s="658">
        <f>IF(AND(F4&gt;'Project Assumptions'!$G$40,F4&lt;='Project Assumptions'!$H$40),'Project Assumptions'!$H$42,0)</f>
        <v>0</v>
      </c>
      <c r="G10" s="658">
        <f>IF(AND(G4&gt;'Project Assumptions'!$G$40,G4&lt;='Project Assumptions'!$H$40),'Project Assumptions'!$H$42,0)</f>
        <v>0</v>
      </c>
      <c r="H10" s="658">
        <f>IF(AND(H4&gt;'Project Assumptions'!$G$40,H4&lt;='Project Assumptions'!$H$40),'Project Assumptions'!$H$42,0)</f>
        <v>0</v>
      </c>
      <c r="I10" s="658">
        <f>IF(AND(I4&gt;'Project Assumptions'!$G$40,I4&lt;='Project Assumptions'!$H$40),'Project Assumptions'!$H$42,0)</f>
        <v>0</v>
      </c>
      <c r="J10" s="658">
        <f>IF(AND(J4&gt;'Project Assumptions'!$G$40,J4&lt;='Project Assumptions'!$H$40),'Project Assumptions'!$H$42,0)</f>
        <v>0</v>
      </c>
      <c r="K10" s="658">
        <f>IF(AND(K4&gt;'Project Assumptions'!$G$40,K4&lt;='Project Assumptions'!$H$40),'Project Assumptions'!$H$42,0)</f>
        <v>0</v>
      </c>
      <c r="L10" s="658">
        <f>IF(AND(L4&gt;'Project Assumptions'!$G$40,L4&lt;='Project Assumptions'!$H$40),'Project Assumptions'!$H$42,0)</f>
        <v>0</v>
      </c>
      <c r="M10" s="658">
        <f>IF(AND(M4&gt;'Project Assumptions'!$G$40,M4&lt;='Project Assumptions'!$H$40),'Project Assumptions'!$H$42,0)</f>
        <v>0</v>
      </c>
      <c r="N10" s="658">
        <f>IF(AND(N4&gt;'Project Assumptions'!$G$40,N4&lt;='Project Assumptions'!$H$40),'Project Assumptions'!$H$42,0)</f>
        <v>0</v>
      </c>
      <c r="O10" s="658">
        <f>IF(AND(O4&gt;'Project Assumptions'!$G$40,O4&lt;='Project Assumptions'!$H$40),'Project Assumptions'!$H$42,0)</f>
        <v>2.5</v>
      </c>
      <c r="P10" s="658">
        <f>IF(AND(P4&gt;'Project Assumptions'!$G$40,P4&lt;='Project Assumptions'!$H$40),'Project Assumptions'!$H$42,0)</f>
        <v>2.5</v>
      </c>
      <c r="Q10" s="658">
        <f>IF(AND(Q4&gt;'Project Assumptions'!$G$40,Q4&lt;='Project Assumptions'!$H$40),'Project Assumptions'!$H$42,0)</f>
        <v>2.5</v>
      </c>
      <c r="R10" s="658">
        <f>IF(AND(R4&gt;'Project Assumptions'!$G$40,R4&lt;='Project Assumptions'!$H$40),'Project Assumptions'!$H$42,0)</f>
        <v>2.5</v>
      </c>
      <c r="S10" s="658">
        <f>IF(AND(S4&gt;'Project Assumptions'!$G$40,S4&lt;='Project Assumptions'!$H$40),'Project Assumptions'!$H$42,0)</f>
        <v>2.5</v>
      </c>
      <c r="T10" s="658">
        <f>IF(AND(T4&gt;'Project Assumptions'!$G$40,T4&lt;='Project Assumptions'!$H$40),'Project Assumptions'!$H$42,0)</f>
        <v>2.5</v>
      </c>
      <c r="U10" s="658">
        <f>IF(AND(U4&gt;'Project Assumptions'!$G$40,U4&lt;='Project Assumptions'!$H$40),'Project Assumptions'!$H$42,0)</f>
        <v>2.5</v>
      </c>
      <c r="V10" s="658">
        <f>IF(AND(V4&gt;'Project Assumptions'!$G$40,V4&lt;='Project Assumptions'!$H$40),'Project Assumptions'!$H$42,0)</f>
        <v>2.5</v>
      </c>
      <c r="W10" s="658">
        <f>IF(AND(W4&gt;'Project Assumptions'!$G$40,W4&lt;='Project Assumptions'!$H$40),'Project Assumptions'!$H$42,0)</f>
        <v>2.5</v>
      </c>
      <c r="X10" s="658">
        <f>IF(AND(X4&gt;'Project Assumptions'!$G$40,X4&lt;='Project Assumptions'!$H$40),'Project Assumptions'!$H$42,0)</f>
        <v>2.5</v>
      </c>
      <c r="Y10" s="659">
        <f>IF(AND(Y4&gt;'Project Assumptions'!$G$40,Y4&lt;='Project Assumptions'!$H$40),'Project Assumptions'!$H$42,0)</f>
        <v>0</v>
      </c>
      <c r="Z10" s="497"/>
      <c r="AA10" s="497"/>
      <c r="AB10" s="497"/>
      <c r="AC10" s="127"/>
      <c r="AD10" s="128"/>
    </row>
    <row r="11" spans="1:53" s="120" customFormat="1">
      <c r="A11" s="656"/>
      <c r="B11" s="657"/>
      <c r="C11" s="657"/>
      <c r="D11" s="657"/>
      <c r="E11" s="658"/>
      <c r="F11" s="658"/>
      <c r="G11" s="658"/>
      <c r="H11" s="658"/>
      <c r="I11" s="658"/>
      <c r="J11" s="658"/>
      <c r="K11" s="658"/>
      <c r="L11" s="658"/>
      <c r="M11" s="658"/>
      <c r="N11" s="658"/>
      <c r="O11" s="658"/>
      <c r="P11" s="658"/>
      <c r="Q11" s="658"/>
      <c r="R11" s="658"/>
      <c r="S11" s="658"/>
      <c r="T11" s="658"/>
      <c r="U11" s="658"/>
      <c r="V11" s="658"/>
      <c r="W11" s="658"/>
      <c r="X11" s="658"/>
      <c r="Y11" s="659"/>
      <c r="Z11" s="497"/>
      <c r="AA11" s="497"/>
      <c r="AB11" s="497"/>
      <c r="AC11" s="127"/>
      <c r="AD11" s="128"/>
    </row>
    <row r="12" spans="1:53" s="120" customFormat="1">
      <c r="A12" s="656" t="s">
        <v>196</v>
      </c>
      <c r="B12" s="657"/>
      <c r="C12" s="657"/>
      <c r="D12" s="657"/>
      <c r="E12" s="660">
        <f>IF(E4&lt;=PPAterm,'Project Assumptions'!$F$41,0)</f>
        <v>6.7299999999999999E-2</v>
      </c>
      <c r="F12" s="660">
        <f>IF(F4&lt;=PPAterm,'Project Assumptions'!$F$41,0)</f>
        <v>6.7299999999999999E-2</v>
      </c>
      <c r="G12" s="660">
        <f>IF(G4&lt;=PPAterm,'Project Assumptions'!$F$41,0)</f>
        <v>6.7299999999999999E-2</v>
      </c>
      <c r="H12" s="660">
        <f>IF(H4&lt;=PPAterm,'Project Assumptions'!$F$41,0)</f>
        <v>6.7299999999999999E-2</v>
      </c>
      <c r="I12" s="660">
        <f>IF(I4&lt;=PPAterm,'Project Assumptions'!$F$41,0)</f>
        <v>0</v>
      </c>
      <c r="J12" s="660">
        <f>IF(J4&lt;=PPAterm,'Project Assumptions'!$F$41,0)</f>
        <v>0</v>
      </c>
      <c r="K12" s="660">
        <f>IF(K4&lt;=PPAterm,'Project Assumptions'!$F$41,0)</f>
        <v>0</v>
      </c>
      <c r="L12" s="660">
        <f>IF(L4&lt;=PPAterm,'Project Assumptions'!$F$41,0)</f>
        <v>0</v>
      </c>
      <c r="M12" s="660">
        <f>IF(M4&lt;=PPAterm,'Project Assumptions'!$F$41,0)</f>
        <v>0</v>
      </c>
      <c r="N12" s="660">
        <f>IF(N4&lt;=PPAterm,'Project Assumptions'!$F$41,0)</f>
        <v>0</v>
      </c>
      <c r="O12" s="660">
        <f>IF(O4&lt;=PPAterm,'Project Assumptions'!$F$41,0)</f>
        <v>0</v>
      </c>
      <c r="P12" s="660">
        <f>IF(P4&lt;=PPAterm,'Project Assumptions'!$F$41,0)</f>
        <v>0</v>
      </c>
      <c r="Q12" s="660">
        <f>IF(Q4&lt;=PPAterm,'Project Assumptions'!$F$41,0)</f>
        <v>0</v>
      </c>
      <c r="R12" s="660">
        <f>IF(R4&lt;=PPAterm,'Project Assumptions'!$F$41,0)</f>
        <v>0</v>
      </c>
      <c r="S12" s="660">
        <f>IF(S4&lt;=PPAterm,'Project Assumptions'!$F$41,0)</f>
        <v>0</v>
      </c>
      <c r="T12" s="660">
        <f>IF(T4&lt;=PPAterm,'Project Assumptions'!$F$41,0)</f>
        <v>0</v>
      </c>
      <c r="U12" s="660">
        <f>IF(U4&lt;=PPAterm,'Project Assumptions'!$F$41,0)</f>
        <v>0</v>
      </c>
      <c r="V12" s="660">
        <f>IF(V4&lt;=PPAterm,'Project Assumptions'!$F$41,0)</f>
        <v>0</v>
      </c>
      <c r="W12" s="660">
        <f>IF(W4&lt;=PPAterm,'Project Assumptions'!$F$41,0)</f>
        <v>0</v>
      </c>
      <c r="X12" s="660">
        <f>IF(X4&lt;=PPAterm,'Project Assumptions'!$F$41,0)</f>
        <v>0</v>
      </c>
      <c r="Y12" s="661">
        <f>IF(Y4&lt;=PPAterm,'Project Assumptions'!$F$41,0)</f>
        <v>0</v>
      </c>
      <c r="Z12" s="498"/>
      <c r="AA12" s="498"/>
      <c r="AB12" s="498"/>
      <c r="AC12" s="129"/>
    </row>
    <row r="13" spans="1:53" s="120" customFormat="1">
      <c r="A13" s="656" t="s">
        <v>197</v>
      </c>
      <c r="B13" s="657"/>
      <c r="C13" s="657"/>
      <c r="D13" s="657"/>
      <c r="E13" s="660">
        <f>IF('Project Assumptions'!$G$40=0,0,IF(E4&lt;=PPAterm,'Project Assumptions'!$F$41,IF(E4&lt;='Project Assumptions'!$G$40,'Project Assumptions'!$G$41,0)))</f>
        <v>6.7299999999999999E-2</v>
      </c>
      <c r="F13" s="660">
        <f>IF('Project Assumptions'!$G$40=0,0,IF(F4&lt;=PPAterm,'Project Assumptions'!$F$41,IF(F4&lt;='Project Assumptions'!$G$40,'Project Assumptions'!$G$41,0)))</f>
        <v>6.7299999999999999E-2</v>
      </c>
      <c r="G13" s="660">
        <f>IF('Project Assumptions'!$G$40=0,0,IF(G4&lt;=PPAterm,'Project Assumptions'!$F$41,IF(G4&lt;='Project Assumptions'!$G$40,'Project Assumptions'!$G$41,0)))</f>
        <v>6.7299999999999999E-2</v>
      </c>
      <c r="H13" s="660">
        <f>IF('Project Assumptions'!$G$40=0,0,IF(H4&lt;=PPAterm,'Project Assumptions'!$F$41,IF(H4&lt;='Project Assumptions'!$G$40,'Project Assumptions'!$G$41,0)))</f>
        <v>6.7299999999999999E-2</v>
      </c>
      <c r="I13" s="660">
        <f>IF('Project Assumptions'!$G$40=0,0,IF(I4&lt;=PPAterm,'Project Assumptions'!$F$41,IF(I4&lt;='Project Assumptions'!$G$40,'Project Assumptions'!$G$41,0)))</f>
        <v>7.5700000000000003E-2</v>
      </c>
      <c r="J13" s="660">
        <f>IF('Project Assumptions'!$G$40=0,0,IF(J4&lt;=PPAterm,'Project Assumptions'!$F$41,IF(J4&lt;='Project Assumptions'!$G$40,'Project Assumptions'!$G$41,0)))</f>
        <v>7.5700000000000003E-2</v>
      </c>
      <c r="K13" s="660">
        <f>IF('Project Assumptions'!$G$40=0,0,IF(K4&lt;=PPAterm,'Project Assumptions'!$F$41,IF(K4&lt;='Project Assumptions'!$G$40,'Project Assumptions'!$G$41,0)))</f>
        <v>7.5700000000000003E-2</v>
      </c>
      <c r="L13" s="660">
        <f>IF('Project Assumptions'!$G$40=0,0,IF(L4&lt;=PPAterm,'Project Assumptions'!$F$41,IF(L4&lt;='Project Assumptions'!$G$40,'Project Assumptions'!$G$41,0)))</f>
        <v>7.5700000000000003E-2</v>
      </c>
      <c r="M13" s="660">
        <f>IF('Project Assumptions'!$G$40=0,0,IF(M4&lt;=PPAterm,'Project Assumptions'!$F$41,IF(M4&lt;='Project Assumptions'!$G$40,'Project Assumptions'!$G$41,0)))</f>
        <v>7.5700000000000003E-2</v>
      </c>
      <c r="N13" s="660">
        <f>IF('Project Assumptions'!$G$40=0,0,IF(N4&lt;=PPAterm,'Project Assumptions'!$F$41,IF(N4&lt;='Project Assumptions'!$G$40,'Project Assumptions'!$G$41,0)))</f>
        <v>7.5700000000000003E-2</v>
      </c>
      <c r="O13" s="660">
        <f>IF('Project Assumptions'!$G$40=0,0,IF(O4&lt;=PPAterm,'Project Assumptions'!$F$41,IF(O4&lt;='Project Assumptions'!$G$40,'Project Assumptions'!$G$41,0)))</f>
        <v>0</v>
      </c>
      <c r="P13" s="660">
        <f>IF('Project Assumptions'!$G$40=0,0,IF(P4&lt;=PPAterm,'Project Assumptions'!$F$41,IF(P4&lt;='Project Assumptions'!$G$40,'Project Assumptions'!$G$41,0)))</f>
        <v>0</v>
      </c>
      <c r="Q13" s="660">
        <f>IF('Project Assumptions'!$G$40=0,0,IF(Q4&lt;=PPAterm,'Project Assumptions'!$F$41,IF(Q4&lt;='Project Assumptions'!$G$40,'Project Assumptions'!$G$41,0)))</f>
        <v>0</v>
      </c>
      <c r="R13" s="660">
        <f>IF('Project Assumptions'!$G$40=0,0,IF(R4&lt;=PPAterm,'Project Assumptions'!$F$41,IF(R4&lt;='Project Assumptions'!$G$40,'Project Assumptions'!$G$41,0)))</f>
        <v>0</v>
      </c>
      <c r="S13" s="660">
        <f>IF('Project Assumptions'!$G$40=0,0,IF(S4&lt;=PPAterm,'Project Assumptions'!$F$41,IF(S4&lt;='Project Assumptions'!$G$40,'Project Assumptions'!$G$41,0)))</f>
        <v>0</v>
      </c>
      <c r="T13" s="660">
        <f>IF('Project Assumptions'!$G$40=0,0,IF(T4&lt;=PPAterm,'Project Assumptions'!$F$41,IF(T4&lt;='Project Assumptions'!$G$40,'Project Assumptions'!$G$41,0)))</f>
        <v>0</v>
      </c>
      <c r="U13" s="660">
        <f>IF('Project Assumptions'!$G$40=0,0,IF(U4&lt;=PPAterm,'Project Assumptions'!$F$41,IF(U4&lt;='Project Assumptions'!$G$40,'Project Assumptions'!$G$41,0)))</f>
        <v>0</v>
      </c>
      <c r="V13" s="660">
        <f>IF('Project Assumptions'!$G$40=0,0,IF(V4&lt;=PPAterm,'Project Assumptions'!$F$41,IF(V4&lt;='Project Assumptions'!$G$40,'Project Assumptions'!$G$41,0)))</f>
        <v>0</v>
      </c>
      <c r="W13" s="660">
        <f>IF('Project Assumptions'!$G$40=0,0,IF(W4&lt;=PPAterm,'Project Assumptions'!$F$41,IF(W4&lt;='Project Assumptions'!$G$40,'Project Assumptions'!$G$41,0)))</f>
        <v>0</v>
      </c>
      <c r="X13" s="660">
        <f>IF('Project Assumptions'!$G$40=0,0,IF(X4&lt;=PPAterm,'Project Assumptions'!$F$41,IF(X4&lt;='Project Assumptions'!$G$40,'Project Assumptions'!$G$41,0)))</f>
        <v>0</v>
      </c>
      <c r="Y13" s="661">
        <f>IF('Project Assumptions'!$G$40=0,0,IF(Y4&lt;=PPAterm,'Project Assumptions'!$F$41,IF(Y4&lt;='Project Assumptions'!$G$40,'Project Assumptions'!$G$41,0)))</f>
        <v>0</v>
      </c>
      <c r="Z13" s="498"/>
      <c r="AA13" s="498"/>
      <c r="AB13" s="498"/>
      <c r="AC13" s="129"/>
    </row>
    <row r="14" spans="1:53" s="120" customFormat="1">
      <c r="A14" s="656" t="s">
        <v>198</v>
      </c>
      <c r="B14" s="657"/>
      <c r="C14" s="657"/>
      <c r="D14" s="657"/>
      <c r="E14" s="660">
        <f>IF('Project Assumptions'!$H$40=0,0,IF(E4&lt;='Project Assumptions'!$H$40,'Project Assumptions'!$H$41,0))</f>
        <v>8.1799999999999998E-2</v>
      </c>
      <c r="F14" s="660">
        <f>IF('Project Assumptions'!$H$40=0,0,IF(F4&lt;='Project Assumptions'!$H$40,'Project Assumptions'!$H$41,0))</f>
        <v>8.1799999999999998E-2</v>
      </c>
      <c r="G14" s="660">
        <f>IF('Project Assumptions'!$H$40=0,0,IF(G4&lt;='Project Assumptions'!$H$40,'Project Assumptions'!$H$41,0))</f>
        <v>8.1799999999999998E-2</v>
      </c>
      <c r="H14" s="660">
        <f>IF('Project Assumptions'!$H$40=0,0,IF(H4&lt;='Project Assumptions'!$H$40,'Project Assumptions'!$H$41,0))</f>
        <v>8.1799999999999998E-2</v>
      </c>
      <c r="I14" s="660">
        <f>IF('Project Assumptions'!$H$40=0,0,IF(I4&lt;='Project Assumptions'!$H$40,'Project Assumptions'!$H$41,0))</f>
        <v>8.1799999999999998E-2</v>
      </c>
      <c r="J14" s="660">
        <f>IF('Project Assumptions'!$H$40=0,0,IF(J4&lt;='Project Assumptions'!$H$40,'Project Assumptions'!$H$41,0))</f>
        <v>8.1799999999999998E-2</v>
      </c>
      <c r="K14" s="660">
        <f>IF('Project Assumptions'!$H$40=0,0,IF(K4&lt;='Project Assumptions'!$H$40,'Project Assumptions'!$H$41,0))</f>
        <v>8.1799999999999998E-2</v>
      </c>
      <c r="L14" s="660">
        <f>IF('Project Assumptions'!$H$40=0,0,IF(L4&lt;='Project Assumptions'!$H$40,'Project Assumptions'!$H$41,0))</f>
        <v>8.1799999999999998E-2</v>
      </c>
      <c r="M14" s="660">
        <f>IF('Project Assumptions'!$H$40=0,0,IF(M4&lt;='Project Assumptions'!$H$40,'Project Assumptions'!$H$41,0))</f>
        <v>8.1799999999999998E-2</v>
      </c>
      <c r="N14" s="660">
        <f>IF('Project Assumptions'!$H$40=0,0,IF(N4&lt;='Project Assumptions'!$H$40,'Project Assumptions'!$H$41,0))</f>
        <v>8.1799999999999998E-2</v>
      </c>
      <c r="O14" s="660">
        <f>IF('Project Assumptions'!$H$40=0,0,IF(O4&lt;='Project Assumptions'!$H$40,'Project Assumptions'!$H$41,0))</f>
        <v>8.1799999999999998E-2</v>
      </c>
      <c r="P14" s="660">
        <f>IF('Project Assumptions'!$H$40=0,0,IF(P4&lt;='Project Assumptions'!$H$40,'Project Assumptions'!$H$41,0))</f>
        <v>8.1799999999999998E-2</v>
      </c>
      <c r="Q14" s="660">
        <f>IF('Project Assumptions'!$H$40=0,0,IF(Q4&lt;='Project Assumptions'!$H$40,'Project Assumptions'!$H$41,0))</f>
        <v>8.1799999999999998E-2</v>
      </c>
      <c r="R14" s="660">
        <f>IF('Project Assumptions'!$H$40=0,0,IF(R4&lt;='Project Assumptions'!$H$40,'Project Assumptions'!$H$41,0))</f>
        <v>8.1799999999999998E-2</v>
      </c>
      <c r="S14" s="660">
        <f>IF('Project Assumptions'!$H$40=0,0,IF(S4&lt;='Project Assumptions'!$H$40,'Project Assumptions'!$H$41,0))</f>
        <v>8.1799999999999998E-2</v>
      </c>
      <c r="T14" s="660">
        <f>IF('Project Assumptions'!$H$40=0,0,IF(T4&lt;='Project Assumptions'!$H$40,'Project Assumptions'!$H$41,0))</f>
        <v>8.1799999999999998E-2</v>
      </c>
      <c r="U14" s="660">
        <f>IF('Project Assumptions'!$H$40=0,0,IF(U4&lt;='Project Assumptions'!$H$40,'Project Assumptions'!$H$41,0))</f>
        <v>8.1799999999999998E-2</v>
      </c>
      <c r="V14" s="660">
        <f>IF('Project Assumptions'!$H$40=0,0,IF(V4&lt;='Project Assumptions'!$H$40,'Project Assumptions'!$H$41,0))</f>
        <v>8.1799999999999998E-2</v>
      </c>
      <c r="W14" s="660">
        <f>IF('Project Assumptions'!$H$40=0,0,IF(W4&lt;='Project Assumptions'!$H$40,'Project Assumptions'!$H$41,0))</f>
        <v>8.1799999999999998E-2</v>
      </c>
      <c r="X14" s="660">
        <f>IF('Project Assumptions'!$H$40=0,0,IF(X4&lt;='Project Assumptions'!$H$40,'Project Assumptions'!$H$41,0))</f>
        <v>8.1799999999999998E-2</v>
      </c>
      <c r="Y14" s="661">
        <f>IF('Project Assumptions'!$H$40=0,0,IF(Y4&lt;='Project Assumptions'!$H$40,'Project Assumptions'!$H$41,0))</f>
        <v>0</v>
      </c>
      <c r="Z14" s="498"/>
      <c r="AA14" s="498"/>
      <c r="AB14" s="498"/>
      <c r="AC14" s="129"/>
    </row>
    <row r="15" spans="1:53" s="120" customFormat="1">
      <c r="A15" s="656"/>
      <c r="B15" s="657"/>
      <c r="C15" s="657"/>
      <c r="D15" s="662"/>
      <c r="E15" s="662"/>
      <c r="F15" s="662"/>
      <c r="G15" s="662"/>
      <c r="H15" s="662"/>
      <c r="I15" s="662"/>
      <c r="J15" s="662"/>
      <c r="K15" s="662"/>
      <c r="L15" s="662"/>
      <c r="M15" s="662"/>
      <c r="N15" s="662"/>
      <c r="O15" s="662"/>
      <c r="P15" s="662"/>
      <c r="Q15" s="662"/>
      <c r="R15" s="662"/>
      <c r="S15" s="662"/>
      <c r="T15" s="662"/>
      <c r="U15" s="662"/>
      <c r="V15" s="662"/>
      <c r="W15" s="662"/>
      <c r="X15" s="662"/>
      <c r="Y15" s="663"/>
      <c r="Z15" s="499"/>
      <c r="AA15" s="499"/>
      <c r="AB15" s="499"/>
    </row>
    <row r="16" spans="1:53" s="120" customFormat="1">
      <c r="A16" s="664" t="s">
        <v>232</v>
      </c>
      <c r="B16" s="657"/>
      <c r="C16" s="657"/>
      <c r="D16" s="657"/>
      <c r="E16" s="650">
        <f>IF(E4&gt;MAX(PPAterm,'Project Assumptions'!$G$40,'Project Assumptions'!$H$40),0,IF(E4&lt;=PPAterm,E6/E8,IF(E4&lt;='Project Assumptions'!$G$40,E6/E9,E6/E10)))</f>
        <v>5376.8776809803894</v>
      </c>
      <c r="F16" s="650">
        <f>IF(F4&gt;MAX('Project Assumptions'!$F$40,'Project Assumptions'!$G$40,'Project Assumptions'!$H$40),0,IF(F4&lt;='Project Assumptions'!$F$40,F6/F8,IF(F4&lt;='Project Assumptions'!$G$40,F6/F9,F6/F10)))</f>
        <v>12823.618859974122</v>
      </c>
      <c r="G16" s="650">
        <f>IF(G4&gt;MAX('Project Assumptions'!$F$40,'Project Assumptions'!$G$40,'Project Assumptions'!$H$40),0,IF(G4&lt;='Project Assumptions'!$F$40,G6/G8,IF(G4&lt;='Project Assumptions'!$G$40,G6/G9,G6/G10)))</f>
        <v>12993.986843826673</v>
      </c>
      <c r="H16" s="650">
        <f>IF(H4&gt;MAX('Project Assumptions'!$F$40,'Project Assumptions'!$G$40,'Project Assumptions'!$H$40),0,IF(H4&lt;='Project Assumptions'!$F$40,H6/H8,IF(H4&lt;='Project Assumptions'!$G$40,H6/H9,H6/H10)))</f>
        <v>12963.243982872222</v>
      </c>
      <c r="I16" s="650">
        <f>IF(I4&gt;MAX('Project Assumptions'!$F$40,'Project Assumptions'!$G$40,'Project Assumptions'!$H$40),0,IF(I4&lt;='Project Assumptions'!$F$40,I6/I8,IF(I4&lt;='Project Assumptions'!$G$40,I6/I9,I6/I10)))</f>
        <v>10027.91749198563</v>
      </c>
      <c r="J16" s="650">
        <f>IF(J4&gt;MAX('Project Assumptions'!$F$40,'Project Assumptions'!$G$40,'Project Assumptions'!$H$40),0,IF(J4&lt;='Project Assumptions'!$F$40,J6/J8,IF(J4&lt;='Project Assumptions'!$G$40,J6/J9,J6/J10)))</f>
        <v>11779.681293273185</v>
      </c>
      <c r="K16" s="650">
        <f>IF(K4&gt;MAX('Project Assumptions'!$F$40,'Project Assumptions'!$G$40,'Project Assumptions'!$H$40),0,IF(K4&lt;='Project Assumptions'!$F$40,K6/K8,IF(K4&lt;='Project Assumptions'!$G$40,K6/K9,K6/K10)))</f>
        <v>11905.489666355479</v>
      </c>
      <c r="L16" s="650">
        <f>IF(L4&gt;MAX('Project Assumptions'!$F$40,'Project Assumptions'!$G$40,'Project Assumptions'!$H$40),0,IF(L4&lt;='Project Assumptions'!$F$40,L6/L8,IF(L4&lt;='Project Assumptions'!$G$40,L6/L9,L6/L10)))</f>
        <v>12030.019951519154</v>
      </c>
      <c r="M16" s="650">
        <f>IF(M4&gt;MAX('Project Assumptions'!$F$40,'Project Assumptions'!$G$40,'Project Assumptions'!$H$40),0,IF(M4&lt;='Project Assumptions'!$F$40,M6/M8,IF(M4&lt;='Project Assumptions'!$G$40,M6/M9,M6/M10)))</f>
        <v>12403.159559200436</v>
      </c>
      <c r="N16" s="650">
        <f>IF(N4&gt;MAX('Project Assumptions'!$F$40,'Project Assumptions'!$G$40,'Project Assumptions'!$H$40),0,IF(N4&lt;='Project Assumptions'!$F$40,N6/N8,IF(N4&lt;='Project Assumptions'!$G$40,N6/N9,N6/N10)))</f>
        <v>12527.295596978778</v>
      </c>
      <c r="O16" s="650">
        <f>IF(O4&gt;MAX('Project Assumptions'!$F$40,'Project Assumptions'!$G$40,'Project Assumptions'!$H$40),0,IF(O4&lt;='Project Assumptions'!$F$40,O6/O8,IF(O4&lt;='Project Assumptions'!$G$40,O6/O9,O6/O10)))</f>
        <v>12917.172925468974</v>
      </c>
      <c r="P16" s="650">
        <f>IF(P4&gt;MAX('Project Assumptions'!$F$40,'Project Assumptions'!$G$40,'Project Assumptions'!$H$40),0,IF(P4&lt;='Project Assumptions'!$F$40,P6/P8,IF(P4&lt;='Project Assumptions'!$G$40,P6/P9,P6/P10)))</f>
        <v>12723.134943884541</v>
      </c>
      <c r="Q16" s="650">
        <f>IF(Q4&gt;MAX('Project Assumptions'!$F$40,'Project Assumptions'!$G$40,'Project Assumptions'!$H$40),0,IF(Q4&lt;='Project Assumptions'!$F$40,Q6/Q8,IF(Q4&lt;='Project Assumptions'!$G$40,Q6/Q9,Q6/Q10)))</f>
        <v>13152.347608626271</v>
      </c>
      <c r="R16" s="650">
        <f>IF(R4&gt;MAX('Project Assumptions'!$F$40,'Project Assumptions'!$G$40,'Project Assumptions'!$H$40),0,IF(R4&lt;='Project Assumptions'!$F$40,R6/R8,IF(R4&lt;='Project Assumptions'!$G$40,R6/R9,R6/R10)))</f>
        <v>13307.464593898438</v>
      </c>
      <c r="S16" s="650">
        <f>IF(S4&gt;MAX(PPAterm,'Project Assumptions'!$G$40,'Project Assumptions'!$H$40),0,IF(S4&lt;='Project Assumptions'!$F$40,S6/S8,IF(S4&lt;='Project Assumptions'!$G$40,S6/S9,S6/S10)))</f>
        <v>13457.258010097739</v>
      </c>
      <c r="T16" s="650">
        <f>IF(T4&gt;MAX('Project Assumptions'!$F$40,'Project Assumptions'!$G$40,'Project Assumptions'!$H$40),0,IF(T4&lt;='Project Assumptions'!$F$40,T6/T8,IF(T4&lt;='Project Assumptions'!$G$40,T6/T9,T6/T10)))</f>
        <v>13601.304783053309</v>
      </c>
      <c r="U16" s="650">
        <f>IF(U4&gt;MAX('Project Assumptions'!$F$40,'Project Assumptions'!$G$40,'Project Assumptions'!$H$40),0,IF(U4&lt;='Project Assumptions'!$F$40,U6/U8,IF(U4&lt;='Project Assumptions'!$G$40,U6/U9,U6/U10)))</f>
        <v>13752.474304710728</v>
      </c>
      <c r="V16" s="650">
        <f>IF(V4&gt;MAX('Project Assumptions'!$F$40,'Project Assumptions'!$G$40,'Project Assumptions'!$H$40),0,IF(V4&lt;='Project Assumptions'!$F$40,V6/V8,IF(V4&lt;='Project Assumptions'!$G$40,V6/V9,V6/V10)))</f>
        <v>13903.644929918175</v>
      </c>
      <c r="W16" s="650">
        <f>IF(W4&gt;MAX('Project Assumptions'!$F$40,'Project Assumptions'!$G$40,'Project Assumptions'!$H$40),0,IF(W4&lt;='Project Assumptions'!$F$40,W6/W8,IF(W4&lt;='Project Assumptions'!$G$40,W6/W9,W6/W10)))</f>
        <v>14047.672677874949</v>
      </c>
      <c r="X16" s="650">
        <f>IF(X4&gt;MAX('Project Assumptions'!$F$40,'Project Assumptions'!$G$40,'Project Assumptions'!$H$40),0,IF(X4&lt;='Project Assumptions'!$F$40,X6/X8,IF(X4&lt;='Project Assumptions'!$G$40,X6/X9,X6/X10)))</f>
        <v>14144.10766221011</v>
      </c>
      <c r="Y16" s="651">
        <f>IF(Y4&gt;MAX('Project Assumptions'!$F$40,'Project Assumptions'!$G$40,'Project Assumptions'!$H$40),0,IF(Y4&lt;='Project Assumptions'!$F$40,Y6/Y8,IF(Y4&lt;='Project Assumptions'!$G$40,Y6/Y9,Y6/Y10)))</f>
        <v>0</v>
      </c>
      <c r="Z16" s="495"/>
      <c r="AA16" s="495"/>
      <c r="AB16" s="495"/>
      <c r="AC16" s="126"/>
      <c r="AD16" s="130"/>
    </row>
    <row r="17" spans="1:30" s="120" customFormat="1">
      <c r="A17" s="664"/>
      <c r="B17" s="665">
        <f>13-MONTH('Project Assumptions'!I17)</f>
        <v>5</v>
      </c>
      <c r="C17" s="657"/>
      <c r="D17" s="657"/>
      <c r="E17" s="658"/>
      <c r="F17" s="662"/>
      <c r="G17" s="662"/>
      <c r="H17" s="662"/>
      <c r="I17" s="662"/>
      <c r="J17" s="662"/>
      <c r="K17" s="662"/>
      <c r="L17" s="662"/>
      <c r="M17" s="662"/>
      <c r="N17" s="662"/>
      <c r="O17" s="662"/>
      <c r="P17" s="662"/>
      <c r="Q17" s="662"/>
      <c r="R17" s="662"/>
      <c r="S17" s="662"/>
      <c r="T17" s="662"/>
      <c r="U17" s="662"/>
      <c r="V17" s="662"/>
      <c r="W17" s="662"/>
      <c r="X17" s="662"/>
      <c r="Y17" s="663"/>
      <c r="Z17" s="499"/>
      <c r="AA17" s="499"/>
      <c r="AB17" s="499"/>
      <c r="AC17" s="130"/>
      <c r="AD17" s="130"/>
    </row>
    <row r="18" spans="1:30" s="120" customFormat="1">
      <c r="A18" s="656"/>
      <c r="B18" s="666">
        <f>'Project Assumptions'!$I$17</f>
        <v>36373</v>
      </c>
      <c r="C18" s="666">
        <f>DATE(YEAR('Project Assumptions'!$I$17),12,31)</f>
        <v>36525</v>
      </c>
      <c r="D18" s="657"/>
      <c r="E18" s="662"/>
      <c r="F18" s="662"/>
      <c r="G18" s="662"/>
      <c r="H18" s="662"/>
      <c r="I18" s="662"/>
      <c r="J18" s="662"/>
      <c r="K18" s="662"/>
      <c r="L18" s="662"/>
      <c r="M18" s="662"/>
      <c r="N18" s="662"/>
      <c r="O18" s="662"/>
      <c r="P18" s="662"/>
      <c r="Q18" s="662"/>
      <c r="R18" s="662"/>
      <c r="S18" s="662"/>
      <c r="T18" s="662"/>
      <c r="U18" s="662"/>
      <c r="V18" s="662"/>
      <c r="W18" s="662"/>
      <c r="X18" s="662"/>
      <c r="Y18" s="663"/>
      <c r="Z18" s="499"/>
      <c r="AA18" s="499"/>
      <c r="AB18" s="499"/>
      <c r="AC18" s="130"/>
    </row>
    <row r="19" spans="1:30" s="120" customFormat="1">
      <c r="A19" s="656" t="s">
        <v>199</v>
      </c>
      <c r="B19" s="667">
        <f>NPV(E12*(13-MONTH('Project Assumptions'!I17))/12,C19)</f>
        <v>27439.101783454731</v>
      </c>
      <c r="C19" s="667">
        <f>NPV(F12,F19:AC19)+E19</f>
        <v>28208.53992929911</v>
      </c>
      <c r="D19" s="657"/>
      <c r="E19" s="650">
        <f>IF(E4&gt;'Project Assumptions'!$F$40,0,E16-E35-E43)</f>
        <v>3841.6318546481998</v>
      </c>
      <c r="F19" s="650">
        <f>IF(F4&gt;'Project Assumptions'!$F$40,0,F16-F35-F43)</f>
        <v>9139.028876776867</v>
      </c>
      <c r="G19" s="650">
        <f>IF(G4&gt;'Project Assumptions'!$F$40,0,G16-G35-G43)</f>
        <v>9309.3968606294184</v>
      </c>
      <c r="H19" s="650">
        <f>IF(H4&gt;'Project Assumptions'!$F$40,0,H16-H35-H43)</f>
        <v>9278.6539996749671</v>
      </c>
      <c r="I19" s="650">
        <f>IF(I4&gt;'Project Assumptions'!$F$40,0,I16-I35-I43)</f>
        <v>0</v>
      </c>
      <c r="J19" s="650">
        <f>IF(J4&gt;'Project Assumptions'!$F$40,0,J16-J35-J43)</f>
        <v>0</v>
      </c>
      <c r="K19" s="650">
        <f>IF(K4&gt;'Project Assumptions'!$F$40,0,K16-K35-K43)</f>
        <v>0</v>
      </c>
      <c r="L19" s="650">
        <f>IF(L4&gt;'Project Assumptions'!$F$40,0,L16-L35-L43)</f>
        <v>0</v>
      </c>
      <c r="M19" s="650">
        <f>IF(M4&gt;'Project Assumptions'!$F$40,0,M16-M35-M43)</f>
        <v>0</v>
      </c>
      <c r="N19" s="650">
        <f>IF(N4&gt;'Project Assumptions'!$F$40,0,N16-N35-N43)</f>
        <v>0</v>
      </c>
      <c r="O19" s="650">
        <f>IF(O4&gt;'Project Assumptions'!$F$40,0,O16-O35-O43)</f>
        <v>0</v>
      </c>
      <c r="P19" s="650">
        <f>IF(P4&gt;'Project Assumptions'!$F$40,0,P16-P35-P43)</f>
        <v>0</v>
      </c>
      <c r="Q19" s="650">
        <f>IF(Q4&gt;'Project Assumptions'!$F$40,0,Q16-Q35-Q43)</f>
        <v>0</v>
      </c>
      <c r="R19" s="650">
        <f>IF(R4&gt;'Project Assumptions'!$F$40,0,R16-R35-R43)</f>
        <v>0</v>
      </c>
      <c r="S19" s="650">
        <f>IF(S4&gt;'Project Assumptions'!$F$40,0,S16-S35-S43)</f>
        <v>0</v>
      </c>
      <c r="T19" s="650">
        <f>IF(T4&gt;'Project Assumptions'!$F$40,0,T16-T35-T43)</f>
        <v>0</v>
      </c>
      <c r="U19" s="650">
        <f>IF(U4&gt;'Project Assumptions'!$F$40,0,U16-U35-U43)</f>
        <v>0</v>
      </c>
      <c r="V19" s="650">
        <f>IF(V4&gt;'Project Assumptions'!$F$40,0,V16-V35-V43)</f>
        <v>0</v>
      </c>
      <c r="W19" s="650">
        <f>IF(W4&gt;'Project Assumptions'!$F$40,0,W16-W35-W43)</f>
        <v>0</v>
      </c>
      <c r="X19" s="650">
        <f>IF(X4&gt;'Project Assumptions'!$F$40,0,X16-X35-X43)</f>
        <v>0</v>
      </c>
      <c r="Y19" s="651">
        <f>IF(Y4&gt;'Project Assumptions'!$F$40,0,Y16-Y35-Y43)</f>
        <v>0</v>
      </c>
      <c r="Z19" s="495"/>
      <c r="AA19" s="495"/>
      <c r="AB19" s="495"/>
      <c r="AC19" s="126"/>
    </row>
    <row r="20" spans="1:30" s="120" customFormat="1">
      <c r="A20" s="656" t="s">
        <v>200</v>
      </c>
      <c r="B20" s="662">
        <f>HLOOKUP('Project Assumptions'!$F$40,$E$4:$AC$20,17)</f>
        <v>54748.736748844793</v>
      </c>
      <c r="C20" s="662"/>
      <c r="D20" s="657"/>
      <c r="E20" s="650">
        <f>IF(E4&lt;'Project Assumptions'!$F$40,0,IF(E4='Project Assumptions'!$F$40,NPV(F13,F20:$AC$20),IF(E4&lt;='Project Assumptions'!$G$40,E16-E43,0)))</f>
        <v>0</v>
      </c>
      <c r="F20" s="650">
        <f>IF(F4&lt;'Project Assumptions'!$F$40,0,IF(F4='Project Assumptions'!$F$40,NPV(G13,G20:$AC$20),IF(F4&lt;='Project Assumptions'!$G$40,F16-F43,0)))</f>
        <v>0</v>
      </c>
      <c r="G20" s="650">
        <f>IF(G4&lt;'Project Assumptions'!$F$40,0,IF(G4='Project Assumptions'!$F$40,NPV(H13,H20:$AC$20),IF(G4&lt;='Project Assumptions'!$G$40,G16-G43,0)))</f>
        <v>0</v>
      </c>
      <c r="H20" s="650">
        <f>IF(H4&lt;'Project Assumptions'!$F$40,0,IF(H4='Project Assumptions'!$F$40,NPV(I13,I20:$AC$20),IF(H4&lt;='Project Assumptions'!$G$40,H16-H43,0)))</f>
        <v>54748.736748844793</v>
      </c>
      <c r="I20" s="650">
        <f>IF(I4&lt;'Project Assumptions'!$F$40,0,IF(I4='Project Assumptions'!$F$40,NPV(J13,J20:$AC$20),IF(I4&lt;='Project Assumptions'!$G$40,I16-I43,0)))</f>
        <v>10027.91749198563</v>
      </c>
      <c r="J20" s="650">
        <f>IF(J4&lt;'Project Assumptions'!$F$40,0,IF(J4='Project Assumptions'!$F$40,NPV(K13,K20:$AC$20),IF(J4&lt;='Project Assumptions'!$G$40,J16-J43,0)))</f>
        <v>11779.681293273185</v>
      </c>
      <c r="K20" s="650">
        <f>IF(K4&lt;'Project Assumptions'!$F$40,0,IF(K4='Project Assumptions'!$F$40,NPV(L13,L20:$AC$20),IF(K4&lt;='Project Assumptions'!$G$40,K16-K43,0)))</f>
        <v>11905.489666355479</v>
      </c>
      <c r="L20" s="650">
        <f>IF(L4&lt;'Project Assumptions'!$F$40,0,IF(L4='Project Assumptions'!$F$40,NPV(M13,M20:$AC$20),IF(L4&lt;='Project Assumptions'!$G$40,L16-L43,0)))</f>
        <v>12030.019951519154</v>
      </c>
      <c r="M20" s="650">
        <f>IF(M4&lt;'Project Assumptions'!$F$40,0,IF(M4='Project Assumptions'!$F$40,NPV(N13,N20:$AC$20),IF(M4&lt;='Project Assumptions'!$G$40,M16-M43,0)))</f>
        <v>12403.159559200436</v>
      </c>
      <c r="N20" s="650">
        <f>IF(N4&lt;'Project Assumptions'!$F$40,0,IF(N4='Project Assumptions'!$F$40,NPV(O13,O20:$AC$20),IF(N4&lt;='Project Assumptions'!$G$40,N16-N43,0)))</f>
        <v>12527.295596978778</v>
      </c>
      <c r="O20" s="650">
        <f>IF(O4&lt;'Project Assumptions'!$F$40,0,IF(O4='Project Assumptions'!$F$40,NPV(P13,P20:$AC$20),IF(O4&lt;='Project Assumptions'!$G$40,O16-O43,0)))</f>
        <v>0</v>
      </c>
      <c r="P20" s="650">
        <f>IF(P4&lt;'Project Assumptions'!$F$40,0,IF(P4='Project Assumptions'!$F$40,NPV(Q13,Q20:$AC$20),IF(P4&lt;='Project Assumptions'!$G$40,P16-P43,0)))</f>
        <v>0</v>
      </c>
      <c r="Q20" s="650">
        <f>IF(Q4&lt;'Project Assumptions'!$F$40,0,IF(Q4='Project Assumptions'!$F$40,NPV(R13,R20:$AC$20),IF(Q4&lt;='Project Assumptions'!$G$40,Q16-Q43,0)))</f>
        <v>0</v>
      </c>
      <c r="R20" s="650">
        <f>IF(R4&lt;'Project Assumptions'!$F$40,0,IF(R4='Project Assumptions'!$F$40,NPV(S13,S20:$AC$20),IF(R4&lt;='Project Assumptions'!$G$40,R16-R43,0)))</f>
        <v>0</v>
      </c>
      <c r="S20" s="650">
        <f>IF(S4&lt;'Project Assumptions'!$F$40,0,IF(S4='Project Assumptions'!$F$40,NPV(T13,T20:$AC$20),IF(S4&lt;='Project Assumptions'!$G$40,S16-S43,0)))</f>
        <v>0</v>
      </c>
      <c r="T20" s="650">
        <f>IF(T4&lt;'Project Assumptions'!$F$40,0,IF(T4='Project Assumptions'!$F$40,NPV(U13,U20:$AC$20),IF(T4&lt;='Project Assumptions'!$G$40,T16-T43,0)))</f>
        <v>0</v>
      </c>
      <c r="U20" s="650">
        <f>IF(U4&lt;'Project Assumptions'!$F$40,0,IF(U4='Project Assumptions'!$F$40,NPV(V13,V20:$AC$20),IF(U4&lt;='Project Assumptions'!$G$40,U16-U43,0)))</f>
        <v>0</v>
      </c>
      <c r="V20" s="650">
        <f>IF(V4&lt;'Project Assumptions'!$F$40,0,IF(V4='Project Assumptions'!$F$40,NPV(W13,W20:$AC$20),IF(V4&lt;='Project Assumptions'!$G$40,V16-V43,0)))</f>
        <v>0</v>
      </c>
      <c r="W20" s="650">
        <f>IF(W4&lt;'Project Assumptions'!$F$40,0,IF(W4='Project Assumptions'!$F$40,NPV(X13,X20:$AC$20),IF(W4&lt;='Project Assumptions'!$G$40,W16-W43,0)))</f>
        <v>0</v>
      </c>
      <c r="X20" s="650">
        <f>IF(X4&lt;'Project Assumptions'!$F$40,0,IF(X4='Project Assumptions'!$F$40,NPV(Y13,Y20:$AC$20),IF(X4&lt;='Project Assumptions'!$G$40,X16-X43,0)))</f>
        <v>0</v>
      </c>
      <c r="Y20" s="651">
        <f>IF(Y4&lt;'Project Assumptions'!$F$40,0,IF(Y4='Project Assumptions'!$F$40,NPV(Z13,Z20:$AC$20),IF(Y4&lt;='Project Assumptions'!$G$40,Y16-Y43,0)))</f>
        <v>0</v>
      </c>
      <c r="Z20" s="495"/>
      <c r="AA20" s="495"/>
      <c r="AB20" s="495"/>
      <c r="AC20" s="126"/>
    </row>
    <row r="21" spans="1:30" s="120" customFormat="1" ht="15">
      <c r="A21" s="656" t="s">
        <v>201</v>
      </c>
      <c r="B21" s="668">
        <f>IF('Project Assumptions'!$H$40=0,0,HLOOKUP('Project Assumptions'!$G$40,$E$4:$AC$21,18))</f>
        <v>89195.937136209279</v>
      </c>
      <c r="C21" s="668"/>
      <c r="D21" s="657"/>
      <c r="E21" s="650">
        <f>IF(OR(E4&lt;'Project Assumptions'!$G$40,'Project Assumptions'!$G$40=0,'Project Assumptions'!$H$40=0),0,IF(E4='Project Assumptions'!$G$40,NPV(F14,F21:$AC$21),IF(E4&lt;='Project Assumptions'!$H$40,E16,0)))</f>
        <v>0</v>
      </c>
      <c r="F21" s="650">
        <f>IF(OR(F4&lt;'Project Assumptions'!$G$40,'Project Assumptions'!$G$40=0,'Project Assumptions'!$H$40=0),0,IF(F4='Project Assumptions'!$G$40,NPV(G14,G21:$AC$21),IF(F4&lt;='Project Assumptions'!$H$40,F16,0)))</f>
        <v>0</v>
      </c>
      <c r="G21" s="650">
        <f>IF(OR(G4&lt;'Project Assumptions'!$G$40,'Project Assumptions'!$G$40=0,'Project Assumptions'!$H$40=0),0,IF(G4='Project Assumptions'!$G$40,NPV(H14,H21:$AC$21),IF(G4&lt;='Project Assumptions'!$H$40,G16,0)))</f>
        <v>0</v>
      </c>
      <c r="H21" s="650">
        <f>IF(OR(H4&lt;'Project Assumptions'!$G$40,'Project Assumptions'!$G$40=0,'Project Assumptions'!$H$40=0),0,IF(H4='Project Assumptions'!$G$40,NPV(I14,I21:$AC$21),IF(H4&lt;='Project Assumptions'!$H$40,H16,0)))</f>
        <v>0</v>
      </c>
      <c r="I21" s="650">
        <f>IF(OR(I4&lt;'Project Assumptions'!$G$40,'Project Assumptions'!$G$40=0,'Project Assumptions'!$H$40=0),0,IF(I4='Project Assumptions'!$G$40,NPV(J14,J21:$AC$21),IF(I4&lt;='Project Assumptions'!$H$40,I16,0)))</f>
        <v>0</v>
      </c>
      <c r="J21" s="650">
        <f>IF(OR(J4&lt;'Project Assumptions'!$G$40,'Project Assumptions'!$G$40=0,'Project Assumptions'!$H$40=0),0,IF(J4='Project Assumptions'!$G$40,NPV(K14,K21:$AC$21),IF(J4&lt;='Project Assumptions'!$H$40,J16,0)))</f>
        <v>0</v>
      </c>
      <c r="K21" s="650">
        <f>IF(OR(K4&lt;'Project Assumptions'!$G$40,'Project Assumptions'!$G$40=0,'Project Assumptions'!$H$40=0),0,IF(K4='Project Assumptions'!$G$40,NPV(L14,L21:$AC$21),IF(K4&lt;='Project Assumptions'!$H$40,K16,0)))</f>
        <v>0</v>
      </c>
      <c r="L21" s="650">
        <f>IF(OR(L4&lt;'Project Assumptions'!$G$40,'Project Assumptions'!$G$40=0,'Project Assumptions'!$H$40=0),0,IF(L4='Project Assumptions'!$G$40,NPV(M14,M21:$AC$21),IF(L4&lt;='Project Assumptions'!$H$40,L16,0)))</f>
        <v>0</v>
      </c>
      <c r="M21" s="650">
        <f>IF(OR(M4&lt;'Project Assumptions'!$G$40,'Project Assumptions'!$G$40=0,'Project Assumptions'!$H$40=0),0,IF(M4='Project Assumptions'!$G$40,NPV(N14,N21:$AC$21),IF(M4&lt;='Project Assumptions'!$H$40,M16,0)))</f>
        <v>0</v>
      </c>
      <c r="N21" s="650">
        <f>IF(OR(N4&lt;'Project Assumptions'!$G$40,'Project Assumptions'!$G$40=0,'Project Assumptions'!$H$40=0),0,IF(N4='Project Assumptions'!$G$40,NPV(O14,O21:$AC$21),IF(N4&lt;='Project Assumptions'!$H$40,N16,0)))</f>
        <v>89195.937136209279</v>
      </c>
      <c r="O21" s="650">
        <f>IF(OR(O4&lt;'Project Assumptions'!$G$40,'Project Assumptions'!$G$40=0,'Project Assumptions'!$H$40=0),0,IF(O4='Project Assumptions'!$G$40,NPV(P14,P21:$AC$21),IF(O4&lt;='Project Assumptions'!$H$40,O16,0)))</f>
        <v>12917.172925468974</v>
      </c>
      <c r="P21" s="650">
        <f>IF(OR(P4&lt;'Project Assumptions'!$G$40,'Project Assumptions'!$G$40=0,'Project Assumptions'!$H$40=0),0,IF(P4='Project Assumptions'!$G$40,NPV(Q14,Q21:$AC$21),IF(P4&lt;='Project Assumptions'!$H$40,P16,0)))</f>
        <v>12723.134943884541</v>
      </c>
      <c r="Q21" s="650">
        <f>IF(OR(Q4&lt;'Project Assumptions'!$G$40,'Project Assumptions'!$G$40=0,'Project Assumptions'!$H$40=0),0,IF(Q4='Project Assumptions'!$G$40,NPV(R14,R21:$AC$21),IF(Q4&lt;='Project Assumptions'!$H$40,Q16,0)))</f>
        <v>13152.347608626271</v>
      </c>
      <c r="R21" s="650">
        <f>IF(OR(R4&lt;'Project Assumptions'!$G$40,'Project Assumptions'!$G$40=0,'Project Assumptions'!$H$40=0),0,IF(R4='Project Assumptions'!$G$40,NPV(S14,S21:$AC$21),IF(R4&lt;='Project Assumptions'!$H$40,R16,0)))</f>
        <v>13307.464593898438</v>
      </c>
      <c r="S21" s="650">
        <f>IF(OR(S4&lt;'Project Assumptions'!$G$40,'Project Assumptions'!$G$40=0,'Project Assumptions'!$H$40=0),0,IF(S4='Project Assumptions'!$G$40,NPV(T14,T21:$AC$21),IF(S4&lt;='Project Assumptions'!$H$40,S16,0)))</f>
        <v>13457.258010097739</v>
      </c>
      <c r="T21" s="650">
        <f>IF(OR(T4&lt;'Project Assumptions'!$G$40,'Project Assumptions'!$G$40=0,'Project Assumptions'!$H$40=0),0,IF(T4='Project Assumptions'!$G$40,NPV(U14,U21:$AC$21),IF(T4&lt;='Project Assumptions'!$H$40,T16,0)))</f>
        <v>13601.304783053309</v>
      </c>
      <c r="U21" s="650">
        <f>IF(OR(U4&lt;'Project Assumptions'!$G$40,'Project Assumptions'!$G$40=0,'Project Assumptions'!$H$40=0),0,IF(U4='Project Assumptions'!$G$40,NPV(V14,V21:$AC$21),IF(U4&lt;='Project Assumptions'!$H$40,U16,0)))</f>
        <v>13752.474304710728</v>
      </c>
      <c r="V21" s="650">
        <f>IF(OR(V4&lt;'Project Assumptions'!$G$40,'Project Assumptions'!$G$40=0,'Project Assumptions'!$H$40=0),0,IF(V4='Project Assumptions'!$G$40,NPV(W14,W21:$AC$21),IF(V4&lt;='Project Assumptions'!$H$40,V16,0)))</f>
        <v>13903.644929918175</v>
      </c>
      <c r="W21" s="650">
        <f>IF(OR(W4&lt;'Project Assumptions'!$G$40,'Project Assumptions'!$G$40=0,'Project Assumptions'!$H$40=0),0,IF(W4='Project Assumptions'!$G$40,NPV(X14,X21:$AC$21),IF(W4&lt;='Project Assumptions'!$H$40,W16,0)))</f>
        <v>14047.672677874949</v>
      </c>
      <c r="X21" s="650">
        <f>IF(OR(X4&lt;'Project Assumptions'!$G$40,'Project Assumptions'!$G$40=0,'Project Assumptions'!$H$40=0),0,IF(X4='Project Assumptions'!$G$40,NPV(Y14,Y21:$AC$21),IF(X4&lt;='Project Assumptions'!$H$40,X16,0)))</f>
        <v>14144.10766221011</v>
      </c>
      <c r="Y21" s="651">
        <f>IF(OR(Y4&lt;'Project Assumptions'!$G$40,'Project Assumptions'!$G$40=0,'Project Assumptions'!$H$40=0),0,IF(Y4='Project Assumptions'!$G$40,NPV(Z14,Z21:$AC$21),IF(Y4&lt;='Project Assumptions'!$H$40,Y16,0)))</f>
        <v>0</v>
      </c>
      <c r="Z21" s="495"/>
      <c r="AA21" s="495"/>
      <c r="AB21" s="495"/>
      <c r="AC21" s="126"/>
    </row>
    <row r="22" spans="1:30" s="120" customFormat="1">
      <c r="A22" s="669" t="s">
        <v>204</v>
      </c>
      <c r="B22" s="670">
        <f>SUM(B19:B21)</f>
        <v>171383.77566850881</v>
      </c>
      <c r="C22" s="671"/>
      <c r="D22" s="672"/>
      <c r="E22" s="673"/>
      <c r="F22" s="673"/>
      <c r="G22" s="673"/>
      <c r="H22" s="673"/>
      <c r="I22" s="673"/>
      <c r="J22" s="673"/>
      <c r="K22" s="673"/>
      <c r="L22" s="673"/>
      <c r="M22" s="673"/>
      <c r="N22" s="673"/>
      <c r="O22" s="673"/>
      <c r="P22" s="673"/>
      <c r="Q22" s="673"/>
      <c r="R22" s="673"/>
      <c r="S22" s="673"/>
      <c r="T22" s="673"/>
      <c r="U22" s="673"/>
      <c r="V22" s="673"/>
      <c r="W22" s="673"/>
      <c r="X22" s="673"/>
      <c r="Y22" s="674"/>
      <c r="Z22" s="500"/>
      <c r="AA22" s="500"/>
      <c r="AB22" s="500"/>
      <c r="AC22" s="131"/>
    </row>
    <row r="23" spans="1:30" s="121" customFormat="1">
      <c r="A23" s="163"/>
      <c r="B23" s="445"/>
      <c r="C23" s="445"/>
      <c r="D23" s="408"/>
      <c r="E23" s="501"/>
      <c r="F23" s="501"/>
      <c r="G23" s="501"/>
      <c r="H23" s="501"/>
      <c r="I23" s="501"/>
      <c r="J23" s="501"/>
      <c r="K23" s="501"/>
      <c r="L23" s="501"/>
      <c r="M23" s="501"/>
      <c r="N23" s="501"/>
      <c r="O23" s="501"/>
      <c r="P23" s="501"/>
      <c r="Q23" s="501"/>
      <c r="R23" s="501"/>
      <c r="S23" s="501"/>
      <c r="T23" s="501"/>
      <c r="U23" s="501"/>
      <c r="V23" s="501"/>
      <c r="W23" s="501"/>
      <c r="X23" s="501"/>
      <c r="Y23" s="501"/>
      <c r="Z23" s="501"/>
      <c r="AA23" s="501"/>
      <c r="AB23" s="501"/>
      <c r="AC23" s="123"/>
    </row>
    <row r="24" spans="1:30" s="121" customFormat="1">
      <c r="A24" s="163"/>
      <c r="B24" s="445"/>
      <c r="C24" s="445"/>
      <c r="D24" s="408"/>
      <c r="E24" s="502"/>
      <c r="F24" s="502"/>
      <c r="G24" s="408"/>
      <c r="H24" s="408"/>
      <c r="I24" s="408"/>
      <c r="J24" s="408"/>
      <c r="K24" s="408"/>
      <c r="L24" s="408"/>
      <c r="M24" s="408"/>
      <c r="N24" s="408"/>
      <c r="O24" s="408"/>
      <c r="P24" s="408"/>
      <c r="Q24" s="408"/>
      <c r="R24" s="408"/>
      <c r="S24" s="408"/>
      <c r="T24" s="408"/>
      <c r="U24" s="408"/>
      <c r="V24" s="408"/>
      <c r="W24" s="408"/>
      <c r="X24" s="408"/>
      <c r="Y24" s="408"/>
      <c r="Z24" s="408"/>
      <c r="AA24" s="408"/>
      <c r="AB24" s="408"/>
    </row>
    <row r="25" spans="1:30" s="121" customFormat="1">
      <c r="A25" s="726" t="s">
        <v>108</v>
      </c>
      <c r="B25" s="675"/>
      <c r="C25" s="675"/>
      <c r="D25" s="676"/>
      <c r="E25" s="676"/>
      <c r="F25" s="676"/>
      <c r="G25" s="676"/>
      <c r="H25" s="676"/>
      <c r="I25" s="676"/>
      <c r="J25" s="676"/>
      <c r="K25" s="676"/>
      <c r="L25" s="676"/>
      <c r="M25" s="676"/>
      <c r="N25" s="676"/>
      <c r="O25" s="676"/>
      <c r="P25" s="676"/>
      <c r="Q25" s="676"/>
      <c r="R25" s="676"/>
      <c r="S25" s="676"/>
      <c r="T25" s="676"/>
      <c r="U25" s="676"/>
      <c r="V25" s="676"/>
      <c r="W25" s="676"/>
      <c r="X25" s="676"/>
      <c r="Y25" s="677"/>
      <c r="Z25" s="408"/>
      <c r="AA25" s="408"/>
      <c r="AB25" s="408"/>
    </row>
    <row r="26" spans="1:30" s="121" customFormat="1">
      <c r="A26" s="678" t="s">
        <v>97</v>
      </c>
      <c r="B26" s="679"/>
      <c r="C26" s="679"/>
      <c r="D26" s="241"/>
      <c r="E26" s="650">
        <f>IF(E4&gt;'Project Assumptions'!$F$40,0,B19)</f>
        <v>27439.101783454731</v>
      </c>
      <c r="F26" s="650">
        <f>IF(F4&gt;'Project Assumptions'!$F$40,0,E30)</f>
        <v>24366.908074650906</v>
      </c>
      <c r="G26" s="650">
        <f>IF(G4&gt;'Project Assumptions'!$F$40,0,F30)</f>
        <v>16867.772111298043</v>
      </c>
      <c r="H26" s="650">
        <f>IF(H4&gt;'Project Assumptions'!$F$40,0,G30)</f>
        <v>8693.5763137589838</v>
      </c>
      <c r="I26" s="650">
        <f>IF(I4&gt;'Project Assumptions'!$F$40,0,H30)</f>
        <v>0</v>
      </c>
      <c r="J26" s="650">
        <f>IF(J4&gt;'Project Assumptions'!$F$40,0,I30)</f>
        <v>0</v>
      </c>
      <c r="K26" s="650">
        <f>IF(K4&gt;'Project Assumptions'!$F$40,0,J30)</f>
        <v>0</v>
      </c>
      <c r="L26" s="650">
        <f>IF(L4&gt;'Project Assumptions'!$F$40,0,K30)</f>
        <v>0</v>
      </c>
      <c r="M26" s="650">
        <f>IF(M4&gt;'Project Assumptions'!$F$40,0,L30)</f>
        <v>0</v>
      </c>
      <c r="N26" s="650">
        <f>IF(N4&gt;'Project Assumptions'!$F$40,0,M30)</f>
        <v>0</v>
      </c>
      <c r="O26" s="650">
        <f>IF(O4&gt;'Project Assumptions'!$F$40,0,N30)</f>
        <v>0</v>
      </c>
      <c r="P26" s="650">
        <f>IF(P4&gt;'Project Assumptions'!$F$40,0,O30)</f>
        <v>0</v>
      </c>
      <c r="Q26" s="650">
        <f>IF(Q4&gt;'Project Assumptions'!$F$40,0,P30)</f>
        <v>0</v>
      </c>
      <c r="R26" s="650">
        <f>IF(R4&gt;'Project Assumptions'!$F$40,0,Q30)</f>
        <v>0</v>
      </c>
      <c r="S26" s="650">
        <f>IF(S4&gt;'Project Assumptions'!$F$40,0,R30)</f>
        <v>0</v>
      </c>
      <c r="T26" s="650">
        <f>IF(T4&gt;'Project Assumptions'!$F$40,0,S30)</f>
        <v>0</v>
      </c>
      <c r="U26" s="650">
        <f>IF(U4&gt;'Project Assumptions'!$F$40,0,T30)</f>
        <v>0</v>
      </c>
      <c r="V26" s="650">
        <f>IF(V4&gt;'Project Assumptions'!$F$40,0,U30)</f>
        <v>0</v>
      </c>
      <c r="W26" s="650">
        <f>IF(W4&gt;'Project Assumptions'!$F$40,0,V30)</f>
        <v>0</v>
      </c>
      <c r="X26" s="650">
        <f>IF(X4&gt;'Project Assumptions'!$F$40,0,W30)</f>
        <v>0</v>
      </c>
      <c r="Y26" s="651">
        <f>IF(Y4&gt;'Project Assumptions'!$F$40,0,X30)</f>
        <v>0</v>
      </c>
      <c r="Z26" s="495"/>
      <c r="AA26" s="495"/>
      <c r="AB26" s="495"/>
      <c r="AC26" s="126"/>
    </row>
    <row r="27" spans="1:30" s="121" customFormat="1">
      <c r="A27" s="678" t="s">
        <v>98</v>
      </c>
      <c r="B27" s="680"/>
      <c r="C27" s="680"/>
      <c r="D27" s="241"/>
      <c r="E27" s="681">
        <f>E26*$E$12*(13-MONTH('Project Assumptions'!I17))/12</f>
        <v>769.43814584437644</v>
      </c>
      <c r="F27" s="681">
        <f>F26*F$12</f>
        <v>1639.8929134240059</v>
      </c>
      <c r="G27" s="681">
        <f t="shared" ref="G27:Y27" si="2">G26*G$12</f>
        <v>1135.2010630903583</v>
      </c>
      <c r="H27" s="681">
        <f t="shared" si="2"/>
        <v>585.0776859159796</v>
      </c>
      <c r="I27" s="681">
        <f t="shared" si="2"/>
        <v>0</v>
      </c>
      <c r="J27" s="681">
        <f t="shared" si="2"/>
        <v>0</v>
      </c>
      <c r="K27" s="681">
        <f t="shared" si="2"/>
        <v>0</v>
      </c>
      <c r="L27" s="681">
        <f t="shared" si="2"/>
        <v>0</v>
      </c>
      <c r="M27" s="681">
        <f t="shared" si="2"/>
        <v>0</v>
      </c>
      <c r="N27" s="681">
        <f t="shared" si="2"/>
        <v>0</v>
      </c>
      <c r="O27" s="681">
        <f t="shared" si="2"/>
        <v>0</v>
      </c>
      <c r="P27" s="681">
        <f t="shared" si="2"/>
        <v>0</v>
      </c>
      <c r="Q27" s="681">
        <f t="shared" si="2"/>
        <v>0</v>
      </c>
      <c r="R27" s="681">
        <f t="shared" si="2"/>
        <v>0</v>
      </c>
      <c r="S27" s="681">
        <f t="shared" si="2"/>
        <v>0</v>
      </c>
      <c r="T27" s="681">
        <f t="shared" si="2"/>
        <v>0</v>
      </c>
      <c r="U27" s="681">
        <f t="shared" si="2"/>
        <v>0</v>
      </c>
      <c r="V27" s="681">
        <f t="shared" si="2"/>
        <v>0</v>
      </c>
      <c r="W27" s="681">
        <f t="shared" si="2"/>
        <v>0</v>
      </c>
      <c r="X27" s="681">
        <f t="shared" si="2"/>
        <v>0</v>
      </c>
      <c r="Y27" s="682">
        <f t="shared" si="2"/>
        <v>0</v>
      </c>
      <c r="Z27" s="408"/>
      <c r="AA27" s="408"/>
      <c r="AB27" s="408"/>
      <c r="AC27" s="132"/>
    </row>
    <row r="28" spans="1:30" s="121" customFormat="1">
      <c r="A28" s="678" t="s">
        <v>99</v>
      </c>
      <c r="B28" s="241"/>
      <c r="C28" s="241"/>
      <c r="D28" s="241"/>
      <c r="E28" s="681">
        <f>IF(E4&gt;'Project Assumptions'!$F$40,0,E29-E27)</f>
        <v>3072.1937088038235</v>
      </c>
      <c r="F28" s="681">
        <f>IF(F4&gt;'Project Assumptions'!$F$40,0,F29-F27)</f>
        <v>7499.1359633528609</v>
      </c>
      <c r="G28" s="681">
        <f>IF(G4&gt;'Project Assumptions'!$F$40,0,G29-G27)</f>
        <v>8174.1957975390596</v>
      </c>
      <c r="H28" s="662">
        <f>IF(H4&gt;'Project Assumptions'!$F$40,0,H29-H27)</f>
        <v>8693.5763137589875</v>
      </c>
      <c r="I28" s="681">
        <f>IF(I4&gt;'Project Assumptions'!$F$40,0,I29-I27)</f>
        <v>0</v>
      </c>
      <c r="J28" s="681">
        <f>IF(J4&gt;'Project Assumptions'!$F$40,0,J29-J27)</f>
        <v>0</v>
      </c>
      <c r="K28" s="681">
        <f>IF(K4&gt;'Project Assumptions'!$F$40,0,K29-K27)</f>
        <v>0</v>
      </c>
      <c r="L28" s="681">
        <f>IF(L4&gt;'Project Assumptions'!$F$40,0,L29-L27)</f>
        <v>0</v>
      </c>
      <c r="M28" s="681">
        <f>IF(M4&gt;'Project Assumptions'!$F$40,0,M29-M27)</f>
        <v>0</v>
      </c>
      <c r="N28" s="681">
        <f>IF(N4&gt;'Project Assumptions'!$F$40,0,N29-N27)</f>
        <v>0</v>
      </c>
      <c r="O28" s="681">
        <f>IF(O4&gt;'Project Assumptions'!$F$40,0,O29-O27)</f>
        <v>0</v>
      </c>
      <c r="P28" s="681">
        <f>IF(P4&gt;'Project Assumptions'!$F$40,0,P29-P27)</f>
        <v>0</v>
      </c>
      <c r="Q28" s="681">
        <f>IF(Q4&gt;'Project Assumptions'!$F$40,0,Q29-Q27)</f>
        <v>0</v>
      </c>
      <c r="R28" s="681">
        <f>IF(R4&gt;'Project Assumptions'!$F$40,0,R29-R27)</f>
        <v>0</v>
      </c>
      <c r="S28" s="681">
        <f>IF(S4&gt;'Project Assumptions'!$F$40,0,S29-S27)</f>
        <v>0</v>
      </c>
      <c r="T28" s="681">
        <f>IF(T4&gt;'Project Assumptions'!$F$40,0,T29-T27)</f>
        <v>0</v>
      </c>
      <c r="U28" s="681">
        <f>IF(U4&gt;'Project Assumptions'!$F$40,0,U29-U27)</f>
        <v>0</v>
      </c>
      <c r="V28" s="681">
        <f>IF(V4&gt;'Project Assumptions'!$F$40,0,V29-V27)</f>
        <v>0</v>
      </c>
      <c r="W28" s="681">
        <f>IF(W4&gt;'Project Assumptions'!$F$40,0,W29-W27)</f>
        <v>0</v>
      </c>
      <c r="X28" s="681">
        <f>IF(X4&gt;'Project Assumptions'!$F$40,0,X29-X27)</f>
        <v>0</v>
      </c>
      <c r="Y28" s="682">
        <f>IF(Y4&gt;'Project Assumptions'!$F$40,0,Y29-Y27)</f>
        <v>0</v>
      </c>
      <c r="Z28" s="408"/>
      <c r="AA28" s="408"/>
      <c r="AB28" s="408"/>
      <c r="AC28" s="132"/>
    </row>
    <row r="29" spans="1:30" s="121" customFormat="1">
      <c r="A29" s="678" t="s">
        <v>100</v>
      </c>
      <c r="B29" s="241"/>
      <c r="C29" s="241"/>
      <c r="D29" s="241"/>
      <c r="E29" s="681">
        <f>IF(E4&gt;'Project Assumptions'!$F$40,0,E19)</f>
        <v>3841.6318546481998</v>
      </c>
      <c r="F29" s="681">
        <f>IF(F4&gt;'Project Assumptions'!$F$40,0,F19)</f>
        <v>9139.028876776867</v>
      </c>
      <c r="G29" s="681">
        <f>IF(G4&gt;'Project Assumptions'!$F$40,0,G19)</f>
        <v>9309.3968606294184</v>
      </c>
      <c r="H29" s="681">
        <f>IF(H4&gt;'Project Assumptions'!$F$40,0,H19)</f>
        <v>9278.6539996749671</v>
      </c>
      <c r="I29" s="681">
        <f>IF(I4&gt;'Project Assumptions'!$F$40,0,I19)</f>
        <v>0</v>
      </c>
      <c r="J29" s="681">
        <f>IF(J4&gt;'Project Assumptions'!$F$40,0,J19)</f>
        <v>0</v>
      </c>
      <c r="K29" s="681">
        <f>IF(K4&gt;'Project Assumptions'!$F$40,0,K19)</f>
        <v>0</v>
      </c>
      <c r="L29" s="681">
        <f>IF(L4&gt;'Project Assumptions'!$F$40,0,L19)</f>
        <v>0</v>
      </c>
      <c r="M29" s="681">
        <f>IF(M4&gt;'Project Assumptions'!$F$40,0,M19)</f>
        <v>0</v>
      </c>
      <c r="N29" s="681">
        <f>IF(N4&gt;'Project Assumptions'!$F$40,0,N19)</f>
        <v>0</v>
      </c>
      <c r="O29" s="681">
        <f>IF(O4&gt;'Project Assumptions'!$F$40,0,O19)</f>
        <v>0</v>
      </c>
      <c r="P29" s="681">
        <f>IF(P4&gt;'Project Assumptions'!$F$40,0,P19)</f>
        <v>0</v>
      </c>
      <c r="Q29" s="681">
        <f>IF(Q4&gt;'Project Assumptions'!$F$40,0,Q19)</f>
        <v>0</v>
      </c>
      <c r="R29" s="681">
        <f>IF(R4&gt;'Project Assumptions'!$F$40,0,R19)</f>
        <v>0</v>
      </c>
      <c r="S29" s="681">
        <f>IF(S4&gt;'Project Assumptions'!$F$40,0,S19)</f>
        <v>0</v>
      </c>
      <c r="T29" s="681">
        <f>IF(T4&gt;'Project Assumptions'!$F$40,0,T19)</f>
        <v>0</v>
      </c>
      <c r="U29" s="681">
        <f>IF(U4&gt;'Project Assumptions'!$F$40,0,U19)</f>
        <v>0</v>
      </c>
      <c r="V29" s="681">
        <f>IF(V4&gt;'Project Assumptions'!$F$40,0,V19)</f>
        <v>0</v>
      </c>
      <c r="W29" s="681">
        <f>IF(W4&gt;'Project Assumptions'!$F$40,0,W19)</f>
        <v>0</v>
      </c>
      <c r="X29" s="681">
        <f>IF(X4&gt;'Project Assumptions'!$F$40,0,X19)</f>
        <v>0</v>
      </c>
      <c r="Y29" s="682">
        <f>IF(Y4&gt;'Project Assumptions'!$F$40,0,Y19)</f>
        <v>0</v>
      </c>
      <c r="Z29" s="408"/>
      <c r="AA29" s="408"/>
      <c r="AB29" s="408"/>
      <c r="AC29" s="132"/>
    </row>
    <row r="30" spans="1:30" s="121" customFormat="1">
      <c r="A30" s="678" t="s">
        <v>101</v>
      </c>
      <c r="B30" s="241"/>
      <c r="C30" s="241"/>
      <c r="D30" s="241"/>
      <c r="E30" s="650">
        <f>IF(E4&lt;'Project Assumptions'!$F$40,E26-E28,IF(AND(E4='Project Assumptions'!$F$40,E26-E28&gt;1),"ERROR",IF(E4&gt;'Project Assumptions'!$F$40,0,E26-E28)))</f>
        <v>24366.908074650906</v>
      </c>
      <c r="F30" s="650">
        <f>IF(F4&lt;'Project Assumptions'!$F$40,F26-F28,IF(AND(F4='Project Assumptions'!$F$40,F26-F28&gt;1),"ERROR",IF(F4&gt;'Project Assumptions'!$F$40,0,F26-F28)))</f>
        <v>16867.772111298043</v>
      </c>
      <c r="G30" s="650">
        <f>IF(G4&lt;'Project Assumptions'!$F$40,G26-G28,IF(AND(G4='Project Assumptions'!$F$40,G26-G28&gt;1),"ERROR",IF(G4&gt;'Project Assumptions'!$F$40,0,G26-G28)))</f>
        <v>8693.5763137589838</v>
      </c>
      <c r="H30" s="650">
        <f>IF(H4&lt;'Project Assumptions'!$F$40,H26-H28,IF(AND(H4='Project Assumptions'!$F$40,H26-H28&gt;1),"ERROR",IF(H4&gt;'Project Assumptions'!$F$40,0,H26-H28)))</f>
        <v>-3.637978807091713E-12</v>
      </c>
      <c r="I30" s="650">
        <f>IF(I4&lt;'Project Assumptions'!$F$40,I26-I28,IF(AND(I4='Project Assumptions'!$F$40,I26-I28&gt;1),"ERROR",IF(I4&gt;'Project Assumptions'!$F$40,0,I26-I28)))</f>
        <v>0</v>
      </c>
      <c r="J30" s="650">
        <f>IF(J4&lt;'Project Assumptions'!$F$40,J26-J28,IF(AND(J4='Project Assumptions'!$F$40,J26-J28&gt;1),"ERROR",IF(J4&gt;'Project Assumptions'!$F$40,0,J26-J28)))</f>
        <v>0</v>
      </c>
      <c r="K30" s="650">
        <f>IF(K4&lt;'Project Assumptions'!$F$40,K26-K28,IF(AND(K4='Project Assumptions'!$F$40,K26-K28&gt;1),"ERROR",IF(K4&gt;'Project Assumptions'!$F$40,0,K26-K28)))</f>
        <v>0</v>
      </c>
      <c r="L30" s="650">
        <f>IF(L4&lt;'Project Assumptions'!$F$40,L26-L28,IF(AND(L4='Project Assumptions'!$F$40,L26-L28&gt;1),"ERROR",IF(L4&gt;'Project Assumptions'!$F$40,0,L26-L28)))</f>
        <v>0</v>
      </c>
      <c r="M30" s="650">
        <f>IF(M4&lt;'Project Assumptions'!$F$40,M26-M28,IF(AND(M4='Project Assumptions'!$F$40,M26-M28&gt;1),"ERROR",IF(M4&gt;'Project Assumptions'!$F$40,0,M26-M28)))</f>
        <v>0</v>
      </c>
      <c r="N30" s="650">
        <f>IF(N4&lt;'Project Assumptions'!$F$40,N26-N28,IF(AND(N4='Project Assumptions'!$F$40,N26-N28&gt;1),"ERROR",IF(N4&gt;'Project Assumptions'!$F$40,0,N26-N28)))</f>
        <v>0</v>
      </c>
      <c r="O30" s="650">
        <f>IF(O4&lt;'Project Assumptions'!$F$40,O26-O28,IF(AND(O4='Project Assumptions'!$F$40,O26-O28&gt;1),"ERROR",IF(O4&gt;'Project Assumptions'!$F$40,0,O26-O28)))</f>
        <v>0</v>
      </c>
      <c r="P30" s="650">
        <f>IF(P4&lt;'Project Assumptions'!$F$40,P26-P28,IF(AND(P4='Project Assumptions'!$F$40,P26-P28&gt;1),"ERROR",IF(P4&gt;'Project Assumptions'!$F$40,0,P26-P28)))</f>
        <v>0</v>
      </c>
      <c r="Q30" s="650">
        <f>IF(Q4&lt;'Project Assumptions'!$F$40,Q26-Q28,IF(AND(Q4='Project Assumptions'!$F$40,Q26-Q28&gt;1),"ERROR",IF(Q4&gt;'Project Assumptions'!$F$40,0,Q26-Q28)))</f>
        <v>0</v>
      </c>
      <c r="R30" s="650">
        <f>IF(R4&lt;'Project Assumptions'!$F$40,R26-R28,IF(AND(R4='Project Assumptions'!$F$40,R26-R28&gt;1),"ERROR",IF(R4&gt;'Project Assumptions'!$F$40,0,R26-R28)))</f>
        <v>0</v>
      </c>
      <c r="S30" s="650">
        <f>IF(S4&lt;'Project Assumptions'!$F$40,S26-S28,IF(AND(S4='Project Assumptions'!$F$40,S26-S28&gt;1),"ERROR",IF(S4&gt;'Project Assumptions'!$F$40,0,S26-S28)))</f>
        <v>0</v>
      </c>
      <c r="T30" s="650">
        <f>IF(T4&lt;'Project Assumptions'!$F$40,T26-T28,IF(AND(T4='Project Assumptions'!$F$40,T26-T28&gt;1),"ERROR",IF(T4&gt;'Project Assumptions'!$F$40,0,T26-T28)))</f>
        <v>0</v>
      </c>
      <c r="U30" s="650">
        <f>IF(U4&lt;'Project Assumptions'!$F$40,U26-U28,IF(AND(U4='Project Assumptions'!$F$40,U26-U28&gt;1),"ERROR",IF(U4&gt;'Project Assumptions'!$F$40,0,U26-U28)))</f>
        <v>0</v>
      </c>
      <c r="V30" s="650">
        <f>IF(V4&lt;'Project Assumptions'!$F$40,V26-V28,IF(AND(V4='Project Assumptions'!$F$40,V26-V28&gt;1),"ERROR",IF(V4&gt;'Project Assumptions'!$F$40,0,V26-V28)))</f>
        <v>0</v>
      </c>
      <c r="W30" s="650">
        <f>IF(W4&lt;'Project Assumptions'!$F$40,W26-W28,IF(AND(W4='Project Assumptions'!$F$40,W26-W28&gt;1),"ERROR",IF(W4&gt;'Project Assumptions'!$F$40,0,W26-W28)))</f>
        <v>0</v>
      </c>
      <c r="X30" s="650">
        <f>IF(X4&lt;'Project Assumptions'!$F$40,X26-X28,IF(AND(X4='Project Assumptions'!$F$40,X26-X28&gt;1),"ERROR",IF(X4&gt;'Project Assumptions'!$F$40,0,X26-X28)))</f>
        <v>0</v>
      </c>
      <c r="Y30" s="651">
        <f>IF(Y4&lt;'Project Assumptions'!$F$40,Y26-Y28,IF(AND(Y4='Project Assumptions'!$F$40,Y26-Y28&gt;1),"ERROR",IF(Y4&gt;'Project Assumptions'!$F$40,0,Y26-Y28)))</f>
        <v>0</v>
      </c>
      <c r="Z30" s="495"/>
      <c r="AA30" s="495"/>
      <c r="AB30" s="495"/>
      <c r="AC30" s="126"/>
    </row>
    <row r="31" spans="1:30" s="121" customFormat="1">
      <c r="A31" s="683" t="s">
        <v>206</v>
      </c>
      <c r="B31" s="632"/>
      <c r="C31" s="632"/>
      <c r="D31" s="632"/>
      <c r="E31" s="684">
        <f>SUMPRODUCT(E4:AC4,E28:AC28)/B19</f>
        <v>2.8196024379272413</v>
      </c>
      <c r="F31" s="685"/>
      <c r="G31" s="685"/>
      <c r="H31" s="685"/>
      <c r="I31" s="685"/>
      <c r="J31" s="685"/>
      <c r="K31" s="685"/>
      <c r="L31" s="685"/>
      <c r="M31" s="685"/>
      <c r="N31" s="685"/>
      <c r="O31" s="673"/>
      <c r="P31" s="685"/>
      <c r="Q31" s="685"/>
      <c r="R31" s="685"/>
      <c r="S31" s="685"/>
      <c r="T31" s="685"/>
      <c r="U31" s="685"/>
      <c r="V31" s="685"/>
      <c r="W31" s="685"/>
      <c r="X31" s="685"/>
      <c r="Y31" s="686"/>
      <c r="Z31" s="408"/>
      <c r="AA31" s="408"/>
      <c r="AB31" s="408"/>
      <c r="AC31" s="132"/>
    </row>
    <row r="32" spans="1:30" s="121" customFormat="1">
      <c r="A32" s="163"/>
      <c r="B32" s="163"/>
      <c r="C32" s="163"/>
      <c r="D32" s="408"/>
      <c r="E32" s="408"/>
      <c r="F32" s="408"/>
      <c r="G32" s="408"/>
      <c r="H32" s="408"/>
      <c r="I32" s="408"/>
      <c r="J32" s="408"/>
      <c r="K32" s="408"/>
      <c r="L32" s="408"/>
      <c r="M32" s="408"/>
      <c r="N32" s="408"/>
      <c r="O32" s="408"/>
      <c r="P32" s="408"/>
      <c r="Q32" s="408"/>
      <c r="R32" s="408"/>
      <c r="S32" s="408"/>
      <c r="T32" s="408"/>
      <c r="U32" s="408"/>
      <c r="V32" s="408"/>
      <c r="W32" s="408"/>
      <c r="X32" s="408"/>
      <c r="Y32" s="408"/>
      <c r="Z32" s="408"/>
      <c r="AA32" s="408"/>
      <c r="AB32" s="408"/>
    </row>
    <row r="33" spans="1:29" s="121" customFormat="1">
      <c r="A33" s="726" t="s">
        <v>111</v>
      </c>
      <c r="B33" s="675"/>
      <c r="C33" s="675"/>
      <c r="D33" s="676"/>
      <c r="E33" s="676"/>
      <c r="F33" s="676"/>
      <c r="G33" s="676"/>
      <c r="H33" s="676"/>
      <c r="I33" s="676"/>
      <c r="J33" s="676"/>
      <c r="K33" s="676"/>
      <c r="L33" s="676"/>
      <c r="M33" s="676"/>
      <c r="N33" s="676"/>
      <c r="O33" s="676"/>
      <c r="P33" s="676"/>
      <c r="Q33" s="676"/>
      <c r="R33" s="676"/>
      <c r="S33" s="676"/>
      <c r="T33" s="676"/>
      <c r="U33" s="676"/>
      <c r="V33" s="676"/>
      <c r="W33" s="676"/>
      <c r="X33" s="676"/>
      <c r="Y33" s="677"/>
      <c r="Z33" s="408"/>
      <c r="AA33" s="408"/>
      <c r="AB33" s="408"/>
    </row>
    <row r="34" spans="1:29" s="121" customFormat="1">
      <c r="A34" s="678" t="s">
        <v>97</v>
      </c>
      <c r="B34" s="679"/>
      <c r="C34" s="679"/>
      <c r="D34" s="241"/>
      <c r="E34" s="650">
        <f>B20</f>
        <v>54748.736748844793</v>
      </c>
      <c r="F34" s="650">
        <f>IF(F4&gt;'Project Assumptions'!$G$40,0,E38)</f>
        <v>54748.736748844793</v>
      </c>
      <c r="G34" s="650">
        <f>IF(G4&gt;'Project Assumptions'!$G$40,0,F38)</f>
        <v>54748.736748844793</v>
      </c>
      <c r="H34" s="650">
        <f>IF(H4&gt;'Project Assumptions'!$G$40,0,G38)</f>
        <v>54748.736748844793</v>
      </c>
      <c r="I34" s="650">
        <f>IF(I4&gt;'Project Assumptions'!$G$40,0,H38)</f>
        <v>54748.736748844793</v>
      </c>
      <c r="J34" s="650">
        <f>IF(J4&gt;'Project Assumptions'!$G$40,0,I38)</f>
        <v>48865.298628746714</v>
      </c>
      <c r="K34" s="650">
        <f>IF(K4&gt;'Project Assumptions'!$G$40,0,J38)</f>
        <v>40784.720441669655</v>
      </c>
      <c r="L34" s="650">
        <f>IF(L4&gt;'Project Assumptions'!$G$40,0,K38)</f>
        <v>31966.634112748568</v>
      </c>
      <c r="M34" s="650">
        <f>IF(M4&gt;'Project Assumptions'!$G$40,0,L38)</f>
        <v>22356.48836356448</v>
      </c>
      <c r="N34" s="650">
        <f>IF(N4&gt;'Project Assumptions'!$G$40,0,M38)</f>
        <v>11645.714973485876</v>
      </c>
      <c r="O34" s="650">
        <f>IF(O4&gt;'Project Assumptions'!$G$40,0,N38)</f>
        <v>0</v>
      </c>
      <c r="P34" s="650">
        <f>IF(P4&gt;'Project Assumptions'!$G$40,0,O38)</f>
        <v>0</v>
      </c>
      <c r="Q34" s="650">
        <f>IF(Q4&gt;'Project Assumptions'!$G$40,0,P38)</f>
        <v>0</v>
      </c>
      <c r="R34" s="650">
        <f>IF(R4&gt;'Project Assumptions'!$G$40,0,Q38)</f>
        <v>0</v>
      </c>
      <c r="S34" s="650">
        <f>IF(S4&gt;'Project Assumptions'!$G$40,0,R38)</f>
        <v>0</v>
      </c>
      <c r="T34" s="650">
        <f>IF(T4&gt;'Project Assumptions'!$G$40,0,S38)</f>
        <v>0</v>
      </c>
      <c r="U34" s="650">
        <f>IF(U4&gt;'Project Assumptions'!$G$40,0,T38)</f>
        <v>0</v>
      </c>
      <c r="V34" s="650">
        <f>IF(V4&gt;'Project Assumptions'!$G$40,0,U38)</f>
        <v>0</v>
      </c>
      <c r="W34" s="650">
        <f>IF(W4&gt;'Project Assumptions'!$G$40,0,V38)</f>
        <v>0</v>
      </c>
      <c r="X34" s="650">
        <f>IF(X4&gt;'Project Assumptions'!$G$40,0,W38)</f>
        <v>0</v>
      </c>
      <c r="Y34" s="651">
        <f>IF(Y4&gt;'Project Assumptions'!$G$40,0,X38)</f>
        <v>0</v>
      </c>
      <c r="Z34" s="495"/>
      <c r="AA34" s="495"/>
      <c r="AB34" s="495"/>
      <c r="AC34" s="126"/>
    </row>
    <row r="35" spans="1:29" s="121" customFormat="1">
      <c r="A35" s="678" t="s">
        <v>98</v>
      </c>
      <c r="B35" s="680"/>
      <c r="C35" s="680"/>
      <c r="D35" s="241"/>
      <c r="E35" s="681">
        <f>IF(E4&gt;'Project Assumptions'!$F$40,E34*E13,IF(AND(E4&lt;='Project Assumptions'!$F$40,'Project Assumptions'!$G$43="Interest Only"),E34*E13*(13-MONTH('Project Assumptions'!I17))/12,0))</f>
        <v>1535.2458263321896</v>
      </c>
      <c r="F35" s="681">
        <f>IF(F4&gt;'Project Assumptions'!$F$40,F34*F13,IF(AND(F4&lt;='Project Assumptions'!$F$40,'Project Assumptions'!$G$43="Interest Only"),F34*F13,0))</f>
        <v>3684.5899831972547</v>
      </c>
      <c r="G35" s="681">
        <f>IF(G4&gt;'Project Assumptions'!$F$40,G34*G13,IF(AND(G4&lt;='Project Assumptions'!$F$40,'Project Assumptions'!$G$43="Interest Only"),G34*G13,0))</f>
        <v>3684.5899831972547</v>
      </c>
      <c r="H35" s="681">
        <f>IF(H4&gt;'Project Assumptions'!$F$40,H34*H13,IF(AND(H4&lt;='Project Assumptions'!$F$40,'Project Assumptions'!$G$43="Interest Only"),H34*H13,0))</f>
        <v>3684.5899831972547</v>
      </c>
      <c r="I35" s="681">
        <f>IF(I4&gt;'Project Assumptions'!$F$40,I34*I13,IF(AND(I4&lt;='Project Assumptions'!$F$40,'Project Assumptions'!$G$43="Interest Only"),I34*I13,0))</f>
        <v>4144.4793718875508</v>
      </c>
      <c r="J35" s="681">
        <f>IF(J4&gt;'Project Assumptions'!$F$40,J34*J13,IF(AND(J4&lt;='Project Assumptions'!$F$40,'Project Assumptions'!$G$43="Interest Only"),J34*J13,0))</f>
        <v>3699.1031061961262</v>
      </c>
      <c r="K35" s="681">
        <f>IF(K4&gt;'Project Assumptions'!$F$40,K34*K13,IF(AND(K4&lt;='Project Assumptions'!$F$40,'Project Assumptions'!$G$43="Interest Only"),K34*K13,0))</f>
        <v>3087.4033374343931</v>
      </c>
      <c r="L35" s="681">
        <f>IF(L4&gt;'Project Assumptions'!$F$40,L34*L13,IF(AND(L4&lt;='Project Assumptions'!$F$40,'Project Assumptions'!$G$43="Interest Only"),L34*L13,0))</f>
        <v>2419.8742023350669</v>
      </c>
      <c r="M35" s="681">
        <f>IF(M4&gt;'Project Assumptions'!$F$40,M34*M13,IF(AND(M4&lt;='Project Assumptions'!$F$40,'Project Assumptions'!$G$43="Interest Only"),M34*M13,0))</f>
        <v>1692.3861691218312</v>
      </c>
      <c r="N35" s="681">
        <f>IF(N4&gt;'Project Assumptions'!$F$40,N34*N13,IF(AND(N4&lt;='Project Assumptions'!$F$40,'Project Assumptions'!$G$43="Interest Only"),N34*N13,0))</f>
        <v>881.58062349288082</v>
      </c>
      <c r="O35" s="681">
        <f>IF(O4&gt;'Project Assumptions'!$F$40,O34*O13,IF(AND(O4&lt;='Project Assumptions'!$F$40,'Project Assumptions'!$G$43="Interest Only"),O34*O13,0))</f>
        <v>0</v>
      </c>
      <c r="P35" s="681">
        <f>IF(P4&gt;'Project Assumptions'!$F$40,P34*P13,IF(AND(P4&lt;='Project Assumptions'!$F$40,'Project Assumptions'!$G$43="Interest Only"),P34*P13,0))</f>
        <v>0</v>
      </c>
      <c r="Q35" s="681">
        <f>IF(Q4&gt;'Project Assumptions'!$F$40,Q34*Q13,IF(AND(Q4&lt;='Project Assumptions'!$F$40,'Project Assumptions'!$G$43="Interest Only"),Q34*Q13,0))</f>
        <v>0</v>
      </c>
      <c r="R35" s="681">
        <f>IF(R4&gt;'Project Assumptions'!$F$40,R34*R13,IF(AND(R4&lt;='Project Assumptions'!$F$40,'Project Assumptions'!$G$43="Interest Only"),R34*R13,0))</f>
        <v>0</v>
      </c>
      <c r="S35" s="681">
        <f>IF(S4&gt;'Project Assumptions'!$F$40,S34*S13,IF(AND(S4&lt;='Project Assumptions'!$F$40,'Project Assumptions'!$G$43="Interest Only"),S34*S13,0))</f>
        <v>0</v>
      </c>
      <c r="T35" s="681">
        <f>IF(T4&gt;'Project Assumptions'!$F$40,T34*T13,IF(AND(T4&lt;='Project Assumptions'!$F$40,'Project Assumptions'!$G$43="Interest Only"),T34*T13,0))</f>
        <v>0</v>
      </c>
      <c r="U35" s="681">
        <f>IF(U4&gt;'Project Assumptions'!$F$40,U34*U13,IF(AND(U4&lt;='Project Assumptions'!$F$40,'Project Assumptions'!$G$43="Interest Only"),U34*U13,0))</f>
        <v>0</v>
      </c>
      <c r="V35" s="681">
        <f>IF(V4&gt;'Project Assumptions'!$F$40,V34*V13,IF(AND(V4&lt;='Project Assumptions'!$F$40,'Project Assumptions'!$G$43="Interest Only"),V34*V13,0))</f>
        <v>0</v>
      </c>
      <c r="W35" s="681">
        <f>IF(W4&gt;'Project Assumptions'!$F$40,W34*W13,IF(AND(W4&lt;='Project Assumptions'!$F$40,'Project Assumptions'!$G$43="Interest Only"),W34*W13,0))</f>
        <v>0</v>
      </c>
      <c r="X35" s="681">
        <f>IF(X4&gt;'Project Assumptions'!$F$40,X34*X13,IF(AND(X4&lt;='Project Assumptions'!$F$40,'Project Assumptions'!$G$43="Interest Only"),X34*X13,0))</f>
        <v>0</v>
      </c>
      <c r="Y35" s="682">
        <f>IF(Y4&gt;'Project Assumptions'!$F$40,Y34*Y13,IF(AND(Y4&lt;='Project Assumptions'!$F$40,'Project Assumptions'!$G$43="Interest Only"),Y34*Y13,0))</f>
        <v>0</v>
      </c>
      <c r="Z35" s="408"/>
      <c r="AA35" s="408"/>
      <c r="AB35" s="408"/>
      <c r="AC35" s="132"/>
    </row>
    <row r="36" spans="1:29" s="121" customFormat="1">
      <c r="A36" s="678" t="s">
        <v>99</v>
      </c>
      <c r="B36" s="687"/>
      <c r="C36" s="687"/>
      <c r="D36" s="241"/>
      <c r="E36" s="681">
        <f>IF(OR(E4&lt;='Project Assumptions'!$F$40,E4&gt;'Project Assumptions'!$G$40),0,E37-E35)</f>
        <v>0</v>
      </c>
      <c r="F36" s="681">
        <f>IF(OR(F4&lt;='Project Assumptions'!$F$40,F4&gt;'Project Assumptions'!$G$40),0,F37-F35)</f>
        <v>0</v>
      </c>
      <c r="G36" s="681">
        <f>IF(OR(G4&lt;='Project Assumptions'!$F$40,G4&gt;'Project Assumptions'!$G$40),0,G37-G35)</f>
        <v>0</v>
      </c>
      <c r="H36" s="681">
        <f>IF(OR(H4&lt;='Project Assumptions'!$F$40,H4&gt;'Project Assumptions'!$G$40),0,H37-H35)</f>
        <v>0</v>
      </c>
      <c r="I36" s="681">
        <f>IF(OR(I4&lt;='Project Assumptions'!$F$40,I4&gt;'Project Assumptions'!$G$40),0,I37-I35)</f>
        <v>5883.4381200980797</v>
      </c>
      <c r="J36" s="681">
        <f>IF(OR(J4&lt;='Project Assumptions'!$F$40,J4&gt;'Project Assumptions'!$G$40),0,J37-J35)</f>
        <v>8080.5781870770588</v>
      </c>
      <c r="K36" s="681">
        <f>IF(OR(K4&lt;='Project Assumptions'!$F$40,K4&gt;'Project Assumptions'!$G$40),0,K37-K35)</f>
        <v>8818.0863289210865</v>
      </c>
      <c r="L36" s="681">
        <f>IF(OR(L4&lt;='Project Assumptions'!$F$40,L4&gt;'Project Assumptions'!$G$40),0,L37-L35)</f>
        <v>9610.1457491840883</v>
      </c>
      <c r="M36" s="681">
        <f>IF(OR(M4&lt;='Project Assumptions'!$F$40,M4&gt;'Project Assumptions'!$G$40),0,M37-M35)</f>
        <v>10710.773390078604</v>
      </c>
      <c r="N36" s="681">
        <f>IF(OR(N4&lt;='Project Assumptions'!$F$40,N4&gt;'Project Assumptions'!$G$40),0,N37-N35)</f>
        <v>11645.714973485898</v>
      </c>
      <c r="O36" s="681">
        <f>IF(OR(O4&lt;='Project Assumptions'!$F$40,O4&gt;'Project Assumptions'!$G$40),0,O37-O35)</f>
        <v>0</v>
      </c>
      <c r="P36" s="681">
        <f>IF(OR(P4&lt;='Project Assumptions'!$F$40,P4&gt;'Project Assumptions'!$G$40),0,P37-P35)</f>
        <v>0</v>
      </c>
      <c r="Q36" s="681">
        <f>IF(OR(Q4&lt;='Project Assumptions'!$F$40,Q4&gt;'Project Assumptions'!$G$40),0,Q37-Q35)</f>
        <v>0</v>
      </c>
      <c r="R36" s="681">
        <f>IF(OR(R4&lt;='Project Assumptions'!$F$40,R4&gt;'Project Assumptions'!$G$40),0,R37-R35)</f>
        <v>0</v>
      </c>
      <c r="S36" s="681">
        <f>IF(OR(S4&lt;='Project Assumptions'!$F$40,S4&gt;'Project Assumptions'!$G$40),0,S37-S35)</f>
        <v>0</v>
      </c>
      <c r="T36" s="681">
        <f>IF(OR(T4&lt;='Project Assumptions'!$F$40,T4&gt;'Project Assumptions'!$G$40),0,T37-T35)</f>
        <v>0</v>
      </c>
      <c r="U36" s="681">
        <f>IF(OR(U4&lt;='Project Assumptions'!$F$40,U4&gt;'Project Assumptions'!$G$40),0,U37-U35)</f>
        <v>0</v>
      </c>
      <c r="V36" s="681">
        <f>IF(OR(V4&lt;='Project Assumptions'!$F$40,V4&gt;'Project Assumptions'!$G$40),0,V37-V35)</f>
        <v>0</v>
      </c>
      <c r="W36" s="681">
        <f>IF(OR(W4&lt;='Project Assumptions'!$F$40,W4&gt;'Project Assumptions'!$G$40),0,W37-W35)</f>
        <v>0</v>
      </c>
      <c r="X36" s="681">
        <f>IF(OR(X4&lt;='Project Assumptions'!$F$40,X4&gt;'Project Assumptions'!$G$40),0,X37-X35)</f>
        <v>0</v>
      </c>
      <c r="Y36" s="682">
        <f>IF(OR(Y4&lt;='Project Assumptions'!$F$40,Y4&gt;'Project Assumptions'!$G$40),0,Y37-Y35)</f>
        <v>0</v>
      </c>
      <c r="Z36" s="408"/>
      <c r="AA36" s="408"/>
      <c r="AB36" s="408"/>
      <c r="AC36" s="132"/>
    </row>
    <row r="37" spans="1:29" s="120" customFormat="1">
      <c r="A37" s="656" t="s">
        <v>100</v>
      </c>
      <c r="B37" s="657"/>
      <c r="C37" s="657"/>
      <c r="D37" s="657"/>
      <c r="E37" s="662">
        <f>IF(E4&lt;='Project Assumptions'!$F$40,E35,E20)</f>
        <v>1535.2458263321896</v>
      </c>
      <c r="F37" s="662">
        <f>IF(F4&lt;='Project Assumptions'!$F$40,F35,F20)</f>
        <v>3684.5899831972547</v>
      </c>
      <c r="G37" s="662">
        <f>IF(G4&lt;='Project Assumptions'!$F$40,G35,G20)</f>
        <v>3684.5899831972547</v>
      </c>
      <c r="H37" s="662">
        <f>IF(H4&lt;='Project Assumptions'!$F$40,H35,H20)</f>
        <v>3684.5899831972547</v>
      </c>
      <c r="I37" s="662">
        <f>IF(I4&lt;='Project Assumptions'!$F$40,I35,I20)</f>
        <v>10027.91749198563</v>
      </c>
      <c r="J37" s="662">
        <f>IF(J4&lt;='Project Assumptions'!$F$40,J35,J20)</f>
        <v>11779.681293273185</v>
      </c>
      <c r="K37" s="662">
        <f>IF(K4&lt;='Project Assumptions'!$F$40,K35,K20)</f>
        <v>11905.489666355479</v>
      </c>
      <c r="L37" s="662">
        <f>IF(L4&lt;='Project Assumptions'!$F$40,L35,L20)</f>
        <v>12030.019951519154</v>
      </c>
      <c r="M37" s="662">
        <f>IF(M4&lt;='Project Assumptions'!$F$40,M35,M20)</f>
        <v>12403.159559200436</v>
      </c>
      <c r="N37" s="662">
        <f>IF(N4&lt;='Project Assumptions'!$F$40,N35,N20)</f>
        <v>12527.295596978778</v>
      </c>
      <c r="O37" s="662">
        <f>IF(O4&lt;='Project Assumptions'!$F$40,O35,O20)</f>
        <v>0</v>
      </c>
      <c r="P37" s="662">
        <f>IF(P4&lt;='Project Assumptions'!$F$40,P35,P20)</f>
        <v>0</v>
      </c>
      <c r="Q37" s="662">
        <f>IF(Q4&lt;='Project Assumptions'!$F$40,Q35,Q20)</f>
        <v>0</v>
      </c>
      <c r="R37" s="662">
        <f>IF(R4&lt;='Project Assumptions'!$F$40,R35,R20)</f>
        <v>0</v>
      </c>
      <c r="S37" s="662">
        <f>IF(S4&lt;='Project Assumptions'!$F$40,S35,S20)</f>
        <v>0</v>
      </c>
      <c r="T37" s="662">
        <f>IF(T4&lt;='Project Assumptions'!$F$40,T35,T20)</f>
        <v>0</v>
      </c>
      <c r="U37" s="662">
        <f>IF(U4&lt;='Project Assumptions'!$F$40,U35,U20)</f>
        <v>0</v>
      </c>
      <c r="V37" s="662">
        <f>IF(V4&lt;='Project Assumptions'!$F$40,V35,V20)</f>
        <v>0</v>
      </c>
      <c r="W37" s="662">
        <f>IF(W4&lt;='Project Assumptions'!$F$40,W35,W20)</f>
        <v>0</v>
      </c>
      <c r="X37" s="662">
        <f>IF(X4&lt;='Project Assumptions'!$F$40,X35,X20)</f>
        <v>0</v>
      </c>
      <c r="Y37" s="663">
        <f>IF(Y4&lt;='Project Assumptions'!$F$40,Y35,Y20)</f>
        <v>0</v>
      </c>
      <c r="Z37" s="499"/>
      <c r="AA37" s="499"/>
      <c r="AB37" s="499"/>
      <c r="AC37" s="130"/>
    </row>
    <row r="38" spans="1:29" s="120" customFormat="1" ht="12.6" customHeight="1">
      <c r="A38" s="656" t="s">
        <v>101</v>
      </c>
      <c r="B38" s="688"/>
      <c r="C38" s="688"/>
      <c r="D38" s="657"/>
      <c r="E38" s="650">
        <f>IF(E4&lt;'Project Assumptions'!$G$40,E34-E36,IF(E4&gt;'Project Assumptions'!$G$40,0,E34-E36))</f>
        <v>54748.736748844793</v>
      </c>
      <c r="F38" s="650">
        <f>IF(F4&lt;'Project Assumptions'!$G$40,F34-F36,IF(F4&gt;'Project Assumptions'!$G$40,0,F34-F36))</f>
        <v>54748.736748844793</v>
      </c>
      <c r="G38" s="650">
        <f>IF(G4&lt;'Project Assumptions'!$G$40,G34-G36,IF(G4&gt;'Project Assumptions'!$G$40,0,G34-G36))</f>
        <v>54748.736748844793</v>
      </c>
      <c r="H38" s="650">
        <f>IF(H4&lt;'Project Assumptions'!$G$40,H34-H36,IF(H4&gt;'Project Assumptions'!$G$40,0,H34-H36))</f>
        <v>54748.736748844793</v>
      </c>
      <c r="I38" s="650">
        <f>IF(I4&lt;'Project Assumptions'!$G$40,I34-I36,IF(I4&gt;'Project Assumptions'!$G$40,0,I34-I36))</f>
        <v>48865.298628746714</v>
      </c>
      <c r="J38" s="650">
        <f>IF(J4&lt;'Project Assumptions'!$G$40,J34-J36,IF(J4&gt;'Project Assumptions'!$G$40,0,J34-J36))</f>
        <v>40784.720441669655</v>
      </c>
      <c r="K38" s="650">
        <f>IF(K4&lt;'Project Assumptions'!$G$40,K34-K36,IF(K4&gt;'Project Assumptions'!$G$40,0,K34-K36))</f>
        <v>31966.634112748568</v>
      </c>
      <c r="L38" s="650">
        <f>IF(L4&lt;'Project Assumptions'!$G$40,L34-L36,IF(L4&gt;'Project Assumptions'!$G$40,0,L34-L36))</f>
        <v>22356.48836356448</v>
      </c>
      <c r="M38" s="650">
        <f>IF(M4&lt;'Project Assumptions'!$G$40,M34-M36,IF(M4&gt;'Project Assumptions'!$G$40,0,M34-M36))</f>
        <v>11645.714973485876</v>
      </c>
      <c r="N38" s="650">
        <f>IF(N4&lt;'Project Assumptions'!$G$40,N34-N36,IF(N4&gt;'Project Assumptions'!$G$40,0,N34-N36))</f>
        <v>-2.1827872842550278E-11</v>
      </c>
      <c r="O38" s="650">
        <f>IF(O4&lt;'Project Assumptions'!$G$40,O34-O36,IF(O4&gt;'Project Assumptions'!$G$40,0,O34-O36))</f>
        <v>0</v>
      </c>
      <c r="P38" s="650">
        <f>IF(P4&lt;'Project Assumptions'!$G$40,P34-P36,IF(P4&gt;'Project Assumptions'!$G$40,0,P34-P36))</f>
        <v>0</v>
      </c>
      <c r="Q38" s="650">
        <f>IF(Q4&lt;'Project Assumptions'!$G$40,Q34-Q36,IF(Q4&gt;'Project Assumptions'!$G$40,0,Q34-Q36))</f>
        <v>0</v>
      </c>
      <c r="R38" s="650">
        <f>IF(R4&lt;'Project Assumptions'!$G$40,R34-R36,IF(R4&gt;'Project Assumptions'!$G$40,0,R34-R36))</f>
        <v>0</v>
      </c>
      <c r="S38" s="650">
        <f>IF(S4&lt;'Project Assumptions'!$G$40,S34-S36,IF(S4&gt;'Project Assumptions'!$G$40,0,S34-S36))</f>
        <v>0</v>
      </c>
      <c r="T38" s="650">
        <f>IF(T4&lt;'Project Assumptions'!$G$40,T34-T36,IF(T4&gt;'Project Assumptions'!$G$40,0,T34-T36))</f>
        <v>0</v>
      </c>
      <c r="U38" s="650">
        <f>IF(U4&lt;'Project Assumptions'!$G$40,U34-U36,IF(U4&gt;'Project Assumptions'!$G$40,0,U34-U36))</f>
        <v>0</v>
      </c>
      <c r="V38" s="650">
        <f>IF(V4&lt;'Project Assumptions'!$G$40,V34-V36,IF(V4&gt;'Project Assumptions'!$G$40,0,V34-V36))</f>
        <v>0</v>
      </c>
      <c r="W38" s="650">
        <f>IF(W4&lt;'Project Assumptions'!$G$40,W34-W36,IF(W4&gt;'Project Assumptions'!$G$40,0,W34-W36))</f>
        <v>0</v>
      </c>
      <c r="X38" s="650">
        <f>IF(X4&lt;'Project Assumptions'!$G$40,X34-X36,IF(X4&gt;'Project Assumptions'!$G$40,0,X34-X36))</f>
        <v>0</v>
      </c>
      <c r="Y38" s="651">
        <f>IF(Y4&lt;'Project Assumptions'!$G$40,Y34-Y36,IF(Y4&gt;'Project Assumptions'!$G$40,0,Y34-Y36))</f>
        <v>0</v>
      </c>
      <c r="Z38" s="495"/>
      <c r="AA38" s="495"/>
      <c r="AB38" s="495"/>
      <c r="AC38" s="126"/>
    </row>
    <row r="39" spans="1:29" s="120" customFormat="1" ht="12.6" customHeight="1">
      <c r="A39" s="689" t="s">
        <v>206</v>
      </c>
      <c r="B39" s="690"/>
      <c r="C39" s="690"/>
      <c r="D39" s="672"/>
      <c r="E39" s="691">
        <f>IF('Project Assumptions'!$G$40&gt;0,SUMPRODUCT(E4:AC4,E36:AC36)/B20,0)</f>
        <v>7.8424191271134518</v>
      </c>
      <c r="F39" s="673"/>
      <c r="G39" s="673"/>
      <c r="H39" s="673"/>
      <c r="I39" s="673"/>
      <c r="J39" s="673"/>
      <c r="K39" s="673"/>
      <c r="L39" s="673"/>
      <c r="M39" s="673"/>
      <c r="N39" s="673"/>
      <c r="O39" s="673"/>
      <c r="P39" s="673"/>
      <c r="Q39" s="673"/>
      <c r="R39" s="673"/>
      <c r="S39" s="673"/>
      <c r="T39" s="673"/>
      <c r="U39" s="673"/>
      <c r="V39" s="673"/>
      <c r="W39" s="673"/>
      <c r="X39" s="673"/>
      <c r="Y39" s="674"/>
      <c r="Z39" s="500"/>
      <c r="AA39" s="500"/>
      <c r="AB39" s="500"/>
      <c r="AC39" s="131"/>
    </row>
    <row r="40" spans="1:29" s="121" customFormat="1">
      <c r="A40" s="163"/>
      <c r="B40" s="163"/>
      <c r="C40" s="163"/>
      <c r="D40" s="163"/>
      <c r="E40" s="408"/>
      <c r="F40" s="408"/>
      <c r="G40" s="408"/>
      <c r="H40" s="408"/>
      <c r="I40" s="408"/>
      <c r="J40" s="408"/>
      <c r="K40" s="408"/>
      <c r="L40" s="408"/>
      <c r="M40" s="408"/>
      <c r="N40" s="408"/>
      <c r="O40" s="408"/>
      <c r="P40" s="408"/>
      <c r="Q40" s="408"/>
      <c r="R40" s="408"/>
      <c r="S40" s="504"/>
      <c r="T40" s="408"/>
      <c r="U40" s="408"/>
      <c r="V40" s="408"/>
      <c r="W40" s="408"/>
      <c r="X40" s="408"/>
      <c r="Y40" s="408"/>
      <c r="Z40" s="408"/>
      <c r="AA40" s="408"/>
      <c r="AB40" s="408"/>
      <c r="AC40" s="132"/>
    </row>
    <row r="41" spans="1:29" s="120" customFormat="1">
      <c r="A41" s="726" t="s">
        <v>182</v>
      </c>
      <c r="B41" s="692"/>
      <c r="C41" s="692"/>
      <c r="D41" s="693"/>
      <c r="E41" s="694"/>
      <c r="F41" s="693"/>
      <c r="G41" s="693"/>
      <c r="H41" s="693"/>
      <c r="I41" s="693"/>
      <c r="J41" s="693"/>
      <c r="K41" s="693"/>
      <c r="L41" s="693"/>
      <c r="M41" s="693"/>
      <c r="N41" s="693"/>
      <c r="O41" s="693"/>
      <c r="P41" s="693"/>
      <c r="Q41" s="693"/>
      <c r="R41" s="693"/>
      <c r="S41" s="695"/>
      <c r="T41" s="693"/>
      <c r="U41" s="693"/>
      <c r="V41" s="693"/>
      <c r="W41" s="693"/>
      <c r="X41" s="693"/>
      <c r="Y41" s="696"/>
      <c r="Z41" s="499"/>
      <c r="AA41" s="499"/>
      <c r="AB41" s="499"/>
    </row>
    <row r="42" spans="1:29" s="120" customFormat="1" ht="12.6" customHeight="1">
      <c r="A42" s="656" t="s">
        <v>97</v>
      </c>
      <c r="B42" s="697" t="s">
        <v>306</v>
      </c>
      <c r="C42" s="697"/>
      <c r="D42" s="657"/>
      <c r="E42" s="650">
        <f>B21</f>
        <v>89195.937136209279</v>
      </c>
      <c r="F42" s="650">
        <f>+IF(F4&gt;'Project Assumptions'!$H$40, 0, E46)</f>
        <v>89195.937136209279</v>
      </c>
      <c r="G42" s="650">
        <f>+IF(G4&gt;'Project Assumptions'!$H$40, 0, F46)</f>
        <v>89195.937136209279</v>
      </c>
      <c r="H42" s="650">
        <f>+IF(H4&gt;'Project Assumptions'!$H$40, 0, G46)</f>
        <v>89195.937136209279</v>
      </c>
      <c r="I42" s="650">
        <f>+IF(I4&gt;'Project Assumptions'!$H$40, 0, H46)</f>
        <v>89195.937136209279</v>
      </c>
      <c r="J42" s="650">
        <f>+IF(J4&gt;'Project Assumptions'!$H$40, 0, I46)</f>
        <v>89195.937136209279</v>
      </c>
      <c r="K42" s="650">
        <f>+IF(K4&gt;'Project Assumptions'!$H$40, 0, J46)</f>
        <v>89195.937136209279</v>
      </c>
      <c r="L42" s="650">
        <f>+IF(L4&gt;'Project Assumptions'!$H$40, 0, K46)</f>
        <v>89195.937136209279</v>
      </c>
      <c r="M42" s="650">
        <f>+IF(M4&gt;'Project Assumptions'!$H$40, 0, L46)</f>
        <v>89195.937136209279</v>
      </c>
      <c r="N42" s="650">
        <f>+IF(N4&gt;'Project Assumptions'!$H$40, 0, M46)</f>
        <v>89195.937136209279</v>
      </c>
      <c r="O42" s="650">
        <f>+IF(O4&gt;'Project Assumptions'!$H$40, 0, N46)</f>
        <v>89195.937136209279</v>
      </c>
      <c r="P42" s="650">
        <f>+IF(P4&gt;'Project Assumptions'!$H$40, 0, O46)</f>
        <v>83574.991868482219</v>
      </c>
      <c r="Q42" s="650">
        <f>+IF(Q4&gt;'Project Assumptions'!$H$40, 0, P46)</f>
        <v>77688.291259439517</v>
      </c>
      <c r="R42" s="650">
        <f>+IF(R4&gt;'Project Assumptions'!$H$40, 0, Q46)</f>
        <v>70890.845875835395</v>
      </c>
      <c r="S42" s="650">
        <f>+IF(S4&gt;'Project Assumptions'!$H$40, 0, R46)</f>
        <v>63382.252474580295</v>
      </c>
      <c r="T42" s="650">
        <f>+IF(T4&gt;'Project Assumptions'!$H$40, 0, S46)</f>
        <v>55109.662716903222</v>
      </c>
      <c r="U42" s="650">
        <f>+IF(U4&gt;'Project Assumptions'!$H$40, 0, T46)</f>
        <v>46016.328344092595</v>
      </c>
      <c r="V42" s="650">
        <f>+IF(V4&gt;'Project Assumptions'!$H$40, 0, U46)</f>
        <v>36027.989697928642</v>
      </c>
      <c r="W42" s="650">
        <f>+IF(W4&gt;'Project Assumptions'!$H$40, 0, V46)</f>
        <v>25071.43432530103</v>
      </c>
      <c r="X42" s="650">
        <f>+IF(X4&gt;'Project Assumptions'!$H$40, 0, W46)</f>
        <v>13074.604975235705</v>
      </c>
      <c r="Y42" s="651">
        <f>+IF(Y4&gt;'Project Assumptions'!$H$40, 0, X46)</f>
        <v>0</v>
      </c>
      <c r="Z42" s="495"/>
      <c r="AA42" s="495"/>
      <c r="AB42" s="495"/>
      <c r="AC42" s="126"/>
    </row>
    <row r="43" spans="1:29" s="120" customFormat="1" ht="12.6" customHeight="1">
      <c r="A43" s="656" t="s">
        <v>98</v>
      </c>
      <c r="B43" s="698"/>
      <c r="C43" s="698"/>
      <c r="D43" s="657"/>
      <c r="E43" s="681">
        <f>IF('Project Assumptions'!$H$40=0,0,IF(E4&gt;'Project Assumptions'!$G$40,E42*E14,IF(AND(E4&lt;='Project Assumptions'!$G$40,'Project Assumptions'!$H$43="Interest Only"),E42*E14*(13-MONTH('Project Assumptions'!I17))/12,0)))</f>
        <v>0</v>
      </c>
      <c r="F43" s="681">
        <f>IF('Project Assumptions'!$H$40=0,0,IF(F4&gt;'Project Assumptions'!$G$40,F42*F14,IF(AND(F4&lt;='Project Assumptions'!$G$40,'Project Assumptions'!$H$43="Interest Only"),F42*F14,0)))</f>
        <v>0</v>
      </c>
      <c r="G43" s="681">
        <f>IF('Project Assumptions'!$H$40=0,0,IF(G4&gt;'Project Assumptions'!$G$40,G42*G14,IF(AND(G4&lt;='Project Assumptions'!$G$40,'Project Assumptions'!$H$43="Interest Only"),G42*G14,0)))</f>
        <v>0</v>
      </c>
      <c r="H43" s="681">
        <f>IF('Project Assumptions'!$H$40=0,0,IF(H4&gt;'Project Assumptions'!$G$40,H42*H14,IF(AND(H4&lt;='Project Assumptions'!$G$40,'Project Assumptions'!$H$43="Interest Only"),H42*H14,0)))</f>
        <v>0</v>
      </c>
      <c r="I43" s="681">
        <f>IF('Project Assumptions'!$H$40=0,0,IF(I4&gt;'Project Assumptions'!$G$40,I42*I14,IF(AND(I4&lt;='Project Assumptions'!$G$40,'Project Assumptions'!$H$43="Interest Only"),I42*I14,0)))</f>
        <v>0</v>
      </c>
      <c r="J43" s="681">
        <f>IF('Project Assumptions'!$H$40=0,0,IF(J4&gt;'Project Assumptions'!$G$40,J42*J14,IF(AND(J4&lt;='Project Assumptions'!$G$40,'Project Assumptions'!$H$43="Interest Only"),J42*J14,0)))</f>
        <v>0</v>
      </c>
      <c r="K43" s="681">
        <f>IF('Project Assumptions'!$H$40=0,0,IF(K4&gt;'Project Assumptions'!$G$40,K42*K14,IF(AND(K4&lt;='Project Assumptions'!$G$40,'Project Assumptions'!$H$43="Interest Only"),K42*K14,0)))</f>
        <v>0</v>
      </c>
      <c r="L43" s="681">
        <f>IF('Project Assumptions'!$H$40=0,0,IF(L4&gt;'Project Assumptions'!$G$40,L42*L14,IF(AND(L4&lt;='Project Assumptions'!$G$40,'Project Assumptions'!$H$43="Interest Only"),L42*L14,0)))</f>
        <v>0</v>
      </c>
      <c r="M43" s="681">
        <f>IF('Project Assumptions'!$H$40=0,0,IF(M4&gt;'Project Assumptions'!$G$40,M42*M14,IF(AND(M4&lt;='Project Assumptions'!$G$40,'Project Assumptions'!$H$43="Interest Only"),M42*M14,0)))</f>
        <v>0</v>
      </c>
      <c r="N43" s="681">
        <f>IF('Project Assumptions'!$H$40=0,0,IF(N4&gt;'Project Assumptions'!$G$40,N42*N14,IF(AND(N4&lt;='Project Assumptions'!$G$40,'Project Assumptions'!$H$43="Interest Only"),N42*N14,0)))</f>
        <v>0</v>
      </c>
      <c r="O43" s="681">
        <f>IF('Project Assumptions'!$H$40=0,0,IF(O4&gt;'Project Assumptions'!$G$40,O42*O14,IF(AND(O4&lt;='Project Assumptions'!$G$40,'Project Assumptions'!$H$43="Interest Only"),O42*O14,0)))</f>
        <v>7296.2276577419188</v>
      </c>
      <c r="P43" s="681">
        <f>IF('Project Assumptions'!$H$40=0,0,IF(P4&gt;'Project Assumptions'!$G$40,P42*P14,IF(AND(P4&lt;='Project Assumptions'!$G$40,'Project Assumptions'!$H$43="Interest Only"),P42*P14,0)))</f>
        <v>6836.4343348418452</v>
      </c>
      <c r="Q43" s="681">
        <f>IF('Project Assumptions'!$H$40=0,0,IF(Q4&gt;'Project Assumptions'!$G$40,Q42*Q14,IF(AND(Q4&lt;='Project Assumptions'!$G$40,'Project Assumptions'!$H$43="Interest Only"),Q42*Q14,0)))</f>
        <v>6354.9022250221524</v>
      </c>
      <c r="R43" s="681">
        <f>IF('Project Assumptions'!$H$40=0,0,IF(R4&gt;'Project Assumptions'!$G$40,R42*R14,IF(AND(R4&lt;='Project Assumptions'!$G$40,'Project Assumptions'!$H$43="Interest Only"),R42*R14,0)))</f>
        <v>5798.8711926433352</v>
      </c>
      <c r="S43" s="681">
        <f>IF('Project Assumptions'!$H$40=0,0,IF(S4&gt;'Project Assumptions'!$G$40,S42*S14,IF(AND(S4&lt;='Project Assumptions'!$G$40,'Project Assumptions'!$H$43="Interest Only"),S42*S14,0)))</f>
        <v>5184.6682524206681</v>
      </c>
      <c r="T43" s="681">
        <f>IF('Project Assumptions'!$H$40=0,0,IF(T4&gt;'Project Assumptions'!$G$40,T42*T14,IF(AND(T4&lt;='Project Assumptions'!$G$40,'Project Assumptions'!$H$43="Interest Only"),T42*T14,0)))</f>
        <v>4507.9704102426831</v>
      </c>
      <c r="U43" s="681">
        <f>IF('Project Assumptions'!$H$40=0,0,IF(U4&gt;'Project Assumptions'!$G$40,U42*U14,IF(AND(U4&lt;='Project Assumptions'!$G$40,'Project Assumptions'!$H$43="Interest Only"),U42*U14,0)))</f>
        <v>3764.1356585467743</v>
      </c>
      <c r="V43" s="681">
        <f>IF('Project Assumptions'!$H$40=0,0,IF(V4&gt;'Project Assumptions'!$G$40,V42*V14,IF(AND(V4&lt;='Project Assumptions'!$G$40,'Project Assumptions'!$H$43="Interest Only"),V42*V14,0)))</f>
        <v>2947.0895572905629</v>
      </c>
      <c r="W43" s="681">
        <f>IF('Project Assumptions'!$H$40=0,0,IF(W4&gt;'Project Assumptions'!$G$40,W42*W14,IF(AND(W4&lt;='Project Assumptions'!$G$40,'Project Assumptions'!$H$43="Interest Only"),W42*W14,0)))</f>
        <v>2050.843327809624</v>
      </c>
      <c r="X43" s="681">
        <f>IF('Project Assumptions'!$H$40=0,0,IF(X4&gt;'Project Assumptions'!$G$40,X42*X14,IF(AND(X4&lt;='Project Assumptions'!$G$40,'Project Assumptions'!$H$43="Interest Only"),X42*X14,0)))</f>
        <v>1069.5026869742806</v>
      </c>
      <c r="Y43" s="682">
        <f>IF('Project Assumptions'!$H$40=0,0,IF(Y4&gt;'Project Assumptions'!$G$40,Y42*Y14,IF(AND(Y4&lt;='Project Assumptions'!$G$40,'Project Assumptions'!$H$43="Interest Only"),Y42*Y14,0)))</f>
        <v>0</v>
      </c>
      <c r="Z43" s="408"/>
      <c r="AA43" s="408"/>
      <c r="AB43" s="408"/>
      <c r="AC43" s="132"/>
    </row>
    <row r="44" spans="1:29" s="120" customFormat="1" ht="12.6" customHeight="1">
      <c r="A44" s="656" t="s">
        <v>99</v>
      </c>
      <c r="B44" s="699"/>
      <c r="C44" s="699"/>
      <c r="D44" s="657"/>
      <c r="E44" s="700">
        <f>+E45-E43</f>
        <v>0</v>
      </c>
      <c r="F44" s="700">
        <f t="shared" ref="F44:Y44" si="3">+F45-F43</f>
        <v>0</v>
      </c>
      <c r="G44" s="700">
        <f t="shared" si="3"/>
        <v>0</v>
      </c>
      <c r="H44" s="700">
        <f t="shared" si="3"/>
        <v>0</v>
      </c>
      <c r="I44" s="700">
        <f t="shared" si="3"/>
        <v>0</v>
      </c>
      <c r="J44" s="700">
        <f t="shared" si="3"/>
        <v>0</v>
      </c>
      <c r="K44" s="700">
        <f t="shared" si="3"/>
        <v>0</v>
      </c>
      <c r="L44" s="700">
        <f t="shared" si="3"/>
        <v>0</v>
      </c>
      <c r="M44" s="700">
        <f t="shared" si="3"/>
        <v>0</v>
      </c>
      <c r="N44" s="700">
        <f t="shared" si="3"/>
        <v>0</v>
      </c>
      <c r="O44" s="700">
        <f t="shared" si="3"/>
        <v>5620.9452677270556</v>
      </c>
      <c r="P44" s="700">
        <f t="shared" si="3"/>
        <v>5886.7006090426958</v>
      </c>
      <c r="Q44" s="700">
        <f t="shared" si="3"/>
        <v>6797.4453836041184</v>
      </c>
      <c r="R44" s="700">
        <f t="shared" si="3"/>
        <v>7508.5934012551024</v>
      </c>
      <c r="S44" s="700">
        <f t="shared" si="3"/>
        <v>8272.5897576770712</v>
      </c>
      <c r="T44" s="700">
        <f t="shared" si="3"/>
        <v>9093.3343728106265</v>
      </c>
      <c r="U44" s="700">
        <f t="shared" si="3"/>
        <v>9988.3386461639529</v>
      </c>
      <c r="V44" s="700">
        <f t="shared" si="3"/>
        <v>10956.555372627612</v>
      </c>
      <c r="W44" s="700">
        <f t="shared" si="3"/>
        <v>11996.829350065325</v>
      </c>
      <c r="X44" s="700">
        <f t="shared" si="3"/>
        <v>13074.60497523583</v>
      </c>
      <c r="Y44" s="701">
        <f t="shared" si="3"/>
        <v>0</v>
      </c>
      <c r="Z44" s="500"/>
      <c r="AA44" s="500"/>
      <c r="AB44" s="500"/>
      <c r="AC44" s="131"/>
    </row>
    <row r="45" spans="1:29" s="120" customFormat="1" ht="12.6" customHeight="1">
      <c r="A45" s="656" t="s">
        <v>100</v>
      </c>
      <c r="B45" s="241"/>
      <c r="C45" s="241"/>
      <c r="D45" s="657"/>
      <c r="E45" s="662">
        <f>IF(E4&lt;='Project Assumptions'!$F$40,E43,E21)</f>
        <v>0</v>
      </c>
      <c r="F45" s="662">
        <f>IF(F4&lt;='Project Assumptions'!$F$40,F43,F21)</f>
        <v>0</v>
      </c>
      <c r="G45" s="662">
        <f>IF(G4&lt;='Project Assumptions'!$F$40,G43,G21)</f>
        <v>0</v>
      </c>
      <c r="H45" s="662">
        <f>IF(H4&lt;='Project Assumptions'!$F$40,H43,H21)</f>
        <v>0</v>
      </c>
      <c r="I45" s="662">
        <f>IF(I4&lt;='Project Assumptions'!$F$40,I43,I21)</f>
        <v>0</v>
      </c>
      <c r="J45" s="662">
        <f>IF(J4&lt;='Project Assumptions'!$F$40,J43,J21)</f>
        <v>0</v>
      </c>
      <c r="K45" s="662">
        <f>IF(K4&lt;='Project Assumptions'!$F$40,K43,K21)</f>
        <v>0</v>
      </c>
      <c r="L45" s="662">
        <f>IF(L4&lt;='Project Assumptions'!$F$40,L43,L21)</f>
        <v>0</v>
      </c>
      <c r="M45" s="662">
        <f>IF(M4&lt;='Project Assumptions'!$G$40,M43,M21)</f>
        <v>0</v>
      </c>
      <c r="N45" s="662">
        <f>IF(N4&lt;='Project Assumptions'!$G$40,N43,N21)</f>
        <v>0</v>
      </c>
      <c r="O45" s="662">
        <f>IF(O4&lt;='Project Assumptions'!$G$40,O43,O21)</f>
        <v>12917.172925468974</v>
      </c>
      <c r="P45" s="662">
        <f>IF(P4&lt;='Project Assumptions'!$G$40,P43,P21)</f>
        <v>12723.134943884541</v>
      </c>
      <c r="Q45" s="662">
        <f>IF(Q4&lt;='Project Assumptions'!$G$40,Q43,Q21)</f>
        <v>13152.347608626271</v>
      </c>
      <c r="R45" s="662">
        <f>IF(R4&lt;='Project Assumptions'!$G$40,R43,R21)</f>
        <v>13307.464593898438</v>
      </c>
      <c r="S45" s="662">
        <f>IF(S4&lt;='Project Assumptions'!$G$40,S43,S21)</f>
        <v>13457.258010097739</v>
      </c>
      <c r="T45" s="662">
        <f>IF(T4&lt;='Project Assumptions'!$G$40,T43,T21)</f>
        <v>13601.304783053309</v>
      </c>
      <c r="U45" s="662">
        <f>IF(U4&lt;='Project Assumptions'!$G$40,U43,U21)</f>
        <v>13752.474304710728</v>
      </c>
      <c r="V45" s="662">
        <f>IF(V4&lt;='Project Assumptions'!$G$40,V43,V21)</f>
        <v>13903.644929918175</v>
      </c>
      <c r="W45" s="662">
        <f>IF(W4&lt;='Project Assumptions'!$G$40,W43,W21)</f>
        <v>14047.672677874949</v>
      </c>
      <c r="X45" s="662">
        <f>IF(X4&lt;='Project Assumptions'!$G$40,X43,X21)</f>
        <v>14144.10766221011</v>
      </c>
      <c r="Y45" s="663">
        <f>IF(Y4&lt;='Project Assumptions'!$G$40,Y43,Y21)</f>
        <v>0</v>
      </c>
      <c r="Z45" s="499"/>
      <c r="AA45" s="499"/>
      <c r="AB45" s="499"/>
      <c r="AC45" s="130"/>
    </row>
    <row r="46" spans="1:29" s="120" customFormat="1" ht="12.6" customHeight="1">
      <c r="A46" s="656" t="s">
        <v>101</v>
      </c>
      <c r="B46" s="688"/>
      <c r="C46" s="688"/>
      <c r="D46" s="657"/>
      <c r="E46" s="650">
        <f>IF('Project Assumptions'!$H$40=0,0,E42-E44)</f>
        <v>89195.937136209279</v>
      </c>
      <c r="F46" s="650">
        <f>IF('Project Assumptions'!$H$40=0,0,F42-F44)</f>
        <v>89195.937136209279</v>
      </c>
      <c r="G46" s="650">
        <f>IF('Project Assumptions'!$H$40=0,0,G42-G44)</f>
        <v>89195.937136209279</v>
      </c>
      <c r="H46" s="650">
        <f>IF('Project Assumptions'!$H$40=0,0,H42-H44)</f>
        <v>89195.937136209279</v>
      </c>
      <c r="I46" s="650">
        <f>IF('Project Assumptions'!$H$40=0,0,I42-I44)</f>
        <v>89195.937136209279</v>
      </c>
      <c r="J46" s="650">
        <f>IF('Project Assumptions'!$H$40=0,0,J42-J44)</f>
        <v>89195.937136209279</v>
      </c>
      <c r="K46" s="650">
        <f>IF('Project Assumptions'!$H$40=0,0,K42-K44)</f>
        <v>89195.937136209279</v>
      </c>
      <c r="L46" s="650">
        <f>IF('Project Assumptions'!$H$40=0,0,L42-L44)</f>
        <v>89195.937136209279</v>
      </c>
      <c r="M46" s="650">
        <f>IF('Project Assumptions'!$H$40=0,0,M42-M44)</f>
        <v>89195.937136209279</v>
      </c>
      <c r="N46" s="650">
        <f>IF('Project Assumptions'!$H$40=0,0,N42-N44)</f>
        <v>89195.937136209279</v>
      </c>
      <c r="O46" s="650">
        <f>IF('Project Assumptions'!$H$40=0,0,O42-O44)</f>
        <v>83574.991868482219</v>
      </c>
      <c r="P46" s="650">
        <f>IF('Project Assumptions'!$H$40=0,0,P42-P44)</f>
        <v>77688.291259439517</v>
      </c>
      <c r="Q46" s="650">
        <f>IF('Project Assumptions'!$H$40=0,0,Q42-Q44)</f>
        <v>70890.845875835395</v>
      </c>
      <c r="R46" s="650">
        <f>IF('Project Assumptions'!$H$40=0,0,R42-R44)</f>
        <v>63382.252474580295</v>
      </c>
      <c r="S46" s="650">
        <f>IF('Project Assumptions'!$H$40=0,0,S42-S44)</f>
        <v>55109.662716903222</v>
      </c>
      <c r="T46" s="650">
        <f>IF('Project Assumptions'!$H$40=0,0,T42-T44)</f>
        <v>46016.328344092595</v>
      </c>
      <c r="U46" s="650">
        <f>IF('Project Assumptions'!$H$40=0,0,U42-U44)</f>
        <v>36027.989697928642</v>
      </c>
      <c r="V46" s="650">
        <f>IF('Project Assumptions'!$H$40=0,0,V42-V44)</f>
        <v>25071.43432530103</v>
      </c>
      <c r="W46" s="650">
        <f>IF('Project Assumptions'!$H$40=0,0,W42-W44)</f>
        <v>13074.604975235705</v>
      </c>
      <c r="X46" s="650">
        <f>IF('Project Assumptions'!$H$40=0,0,X42-X44)</f>
        <v>-1.255102688446641E-10</v>
      </c>
      <c r="Y46" s="651">
        <f>IF('Project Assumptions'!$H$40=0,0,Y42-Y44)</f>
        <v>0</v>
      </c>
      <c r="Z46" s="495"/>
      <c r="AA46" s="495"/>
      <c r="AB46" s="495"/>
      <c r="AC46" s="126"/>
    </row>
    <row r="47" spans="1:29" s="120" customFormat="1" ht="12.6" customHeight="1">
      <c r="A47" s="689" t="s">
        <v>206</v>
      </c>
      <c r="B47" s="690"/>
      <c r="C47" s="690"/>
      <c r="D47" s="672"/>
      <c r="E47" s="691">
        <f>IF('Project Assumptions'!H40&gt;0,SUMPRODUCT(E4:AC4,E44:AC44)/B21,0)</f>
        <v>16.278675426872823</v>
      </c>
      <c r="F47" s="673"/>
      <c r="G47" s="673"/>
      <c r="H47" s="673"/>
      <c r="I47" s="673"/>
      <c r="J47" s="673"/>
      <c r="K47" s="673"/>
      <c r="L47" s="673"/>
      <c r="M47" s="673"/>
      <c r="N47" s="673"/>
      <c r="O47" s="673"/>
      <c r="P47" s="673"/>
      <c r="Q47" s="673"/>
      <c r="R47" s="673"/>
      <c r="S47" s="673"/>
      <c r="T47" s="673"/>
      <c r="U47" s="673"/>
      <c r="V47" s="673"/>
      <c r="W47" s="673"/>
      <c r="X47" s="673"/>
      <c r="Y47" s="674"/>
      <c r="Z47" s="500"/>
      <c r="AA47" s="500"/>
      <c r="AB47" s="500"/>
      <c r="AC47" s="131"/>
    </row>
    <row r="48" spans="1:29" s="120" customFormat="1" ht="12.6" customHeight="1">
      <c r="A48" s="487"/>
      <c r="B48" s="490"/>
      <c r="C48" s="490"/>
      <c r="D48" s="496"/>
      <c r="E48" s="503"/>
      <c r="F48" s="503"/>
      <c r="G48" s="503"/>
      <c r="H48" s="503"/>
      <c r="I48" s="503"/>
      <c r="J48" s="503"/>
      <c r="K48" s="503"/>
      <c r="L48" s="503"/>
      <c r="M48" s="503"/>
      <c r="N48" s="503"/>
      <c r="O48" s="503"/>
      <c r="P48" s="503"/>
      <c r="Q48" s="503"/>
      <c r="R48" s="503"/>
      <c r="S48" s="503"/>
      <c r="T48" s="503"/>
      <c r="U48" s="503"/>
      <c r="V48" s="503"/>
      <c r="W48" s="503"/>
      <c r="X48" s="503"/>
      <c r="Y48" s="503"/>
      <c r="Z48" s="503"/>
      <c r="AA48" s="503"/>
      <c r="AB48" s="503"/>
      <c r="AC48" s="133"/>
    </row>
    <row r="49" spans="1:30" s="120" customFormat="1" ht="13.5" thickBot="1">
      <c r="A49" s="496"/>
      <c r="B49" s="496"/>
      <c r="C49" s="496"/>
      <c r="D49" s="496"/>
      <c r="E49" s="499"/>
      <c r="F49" s="499"/>
      <c r="G49" s="499"/>
      <c r="H49" s="499"/>
      <c r="I49" s="499"/>
      <c r="J49" s="499"/>
      <c r="K49" s="499"/>
      <c r="L49" s="499"/>
      <c r="M49" s="499"/>
      <c r="N49" s="499"/>
      <c r="O49" s="499"/>
      <c r="P49" s="499"/>
      <c r="Q49" s="499"/>
      <c r="R49" s="499"/>
      <c r="S49" s="499"/>
      <c r="T49" s="499"/>
      <c r="U49" s="499"/>
      <c r="V49" s="499"/>
      <c r="W49" s="499"/>
      <c r="X49" s="499"/>
      <c r="Y49" s="499"/>
      <c r="Z49" s="499"/>
      <c r="AA49" s="499"/>
      <c r="AB49" s="499"/>
      <c r="AC49" s="130"/>
    </row>
    <row r="50" spans="1:30" s="120" customFormat="1">
      <c r="A50" s="702" t="s">
        <v>203</v>
      </c>
      <c r="B50" s="703"/>
      <c r="C50" s="703"/>
      <c r="D50" s="703"/>
      <c r="E50" s="704"/>
      <c r="F50" s="704"/>
      <c r="G50" s="704"/>
      <c r="H50" s="704"/>
      <c r="I50" s="704"/>
      <c r="J50" s="704"/>
      <c r="K50" s="704"/>
      <c r="L50" s="704"/>
      <c r="M50" s="704"/>
      <c r="N50" s="704"/>
      <c r="O50" s="704"/>
      <c r="P50" s="704"/>
      <c r="Q50" s="704"/>
      <c r="R50" s="704"/>
      <c r="S50" s="704"/>
      <c r="T50" s="704"/>
      <c r="U50" s="704"/>
      <c r="V50" s="704"/>
      <c r="W50" s="704"/>
      <c r="X50" s="704"/>
      <c r="Y50" s="705"/>
      <c r="Z50" s="499"/>
      <c r="AA50" s="499"/>
      <c r="AB50" s="499"/>
      <c r="AC50" s="130"/>
    </row>
    <row r="51" spans="1:30" s="120" customFormat="1">
      <c r="A51" s="706" t="s">
        <v>97</v>
      </c>
      <c r="B51" s="657"/>
      <c r="C51" s="657"/>
      <c r="D51" s="657"/>
      <c r="E51" s="650">
        <f>IF('Project Assumptions'!$I$35="Normal",E26+E34+E42,E71+E86+E101)</f>
        <v>117687</v>
      </c>
      <c r="F51" s="650">
        <f>IF('Project Assumptions'!$I$35="Normal",F26+F34+F42,F71+F86+F101)</f>
        <v>112941</v>
      </c>
      <c r="G51" s="650">
        <f>IF('Project Assumptions'!$I$35="Normal",G26+G34+G42,G71+G86+G101)</f>
        <v>108195</v>
      </c>
      <c r="H51" s="650">
        <f>IF('Project Assumptions'!$I$35="Normal",H26+H34+H42,H71+H86+H101)</f>
        <v>101702.6</v>
      </c>
      <c r="I51" s="650">
        <f>IF('Project Assumptions'!$I$35="Normal",I26+I34+I42,I71+I86+I101)</f>
        <v>93463.8</v>
      </c>
      <c r="J51" s="650">
        <f>IF('Project Assumptions'!$I$35="Normal",J26+J34+J42,J71+J86+J101)</f>
        <v>88695.5</v>
      </c>
      <c r="K51" s="650">
        <f>IF('Project Assumptions'!$I$35="Normal",K26+K34+K42,K71+K86+K101)</f>
        <v>83927.2</v>
      </c>
      <c r="L51" s="650">
        <f>IF('Project Assumptions'!$I$35="Normal",L26+L34+L42,L71+L86+L101)</f>
        <v>78521.149999999994</v>
      </c>
      <c r="M51" s="650">
        <f>IF('Project Assumptions'!$I$35="Normal",M26+M34+M42,M71+M86+M101)</f>
        <v>73115.100000000006</v>
      </c>
      <c r="N51" s="650">
        <f>IF('Project Assumptions'!$I$35="Normal",N26+N34+N42,N71+N86+N101)</f>
        <v>64216.25</v>
      </c>
      <c r="O51" s="650">
        <f>IF('Project Assumptions'!$I$35="Normal",O26+O34+O42,O71+O86+O101)</f>
        <v>52933.25</v>
      </c>
      <c r="P51" s="650">
        <f>IF('Project Assumptions'!$I$35="Normal",P26+P34+P42,P71+P86+P101)</f>
        <v>50382.25</v>
      </c>
      <c r="Q51" s="650">
        <f>IF('Project Assumptions'!$I$35="Normal",Q26+Q34+Q42,Q71+Q86+Q101)</f>
        <v>47193.5</v>
      </c>
      <c r="R51" s="650">
        <f>IF('Project Assumptions'!$I$35="Normal",R26+R34+R42,R71+R86+R101)</f>
        <v>44004.75</v>
      </c>
      <c r="S51" s="650">
        <f>IF('Project Assumptions'!$I$35="Normal",S26+S34+S42,S71+S86+S101)</f>
        <v>40816</v>
      </c>
      <c r="T51" s="650">
        <f>IF('Project Assumptions'!$I$35="Normal",T26+T34+T42,T71+T86+T101)</f>
        <v>37627.25</v>
      </c>
      <c r="U51" s="650">
        <f>IF('Project Assumptions'!$I$35="Normal",U26+U34+U42,U71+U86+U101)</f>
        <v>34438.5</v>
      </c>
      <c r="V51" s="650">
        <f>IF('Project Assumptions'!$I$35="Normal",V26+V34+V42,V71+V86+V101)</f>
        <v>28061</v>
      </c>
      <c r="W51" s="650">
        <f>IF('Project Assumptions'!$I$35="Normal",W26+W34+W42,W71+W86+W101)</f>
        <v>20408</v>
      </c>
      <c r="X51" s="650">
        <f>IF('Project Assumptions'!$I$35="Normal",X26+X34+X42,X71+X86+X101)</f>
        <v>10841.75</v>
      </c>
      <c r="Y51" s="707">
        <f>IF('Project Assumptions'!$I$35="Normal",Y26+Y34+Y42,Y71+Y86+Y101)</f>
        <v>0</v>
      </c>
      <c r="Z51" s="495"/>
      <c r="AA51" s="495"/>
      <c r="AB51" s="495"/>
      <c r="AC51" s="126"/>
    </row>
    <row r="52" spans="1:30" s="120" customFormat="1">
      <c r="A52" s="706" t="s">
        <v>98</v>
      </c>
      <c r="B52" s="657"/>
      <c r="C52" s="657"/>
      <c r="D52" s="657"/>
      <c r="E52" s="662">
        <f>IF('Project Assumptions'!$I$35="Normal",E27+E35+E43,E72+E87+E102)</f>
        <v>9138.4678000000004</v>
      </c>
      <c r="F52" s="662">
        <f>IF('Project Assumptions'!$I$35="Normal",F27+F35+F43,F72+F87+F102)</f>
        <v>8819.0619999999999</v>
      </c>
      <c r="G52" s="662">
        <f>IF('Project Assumptions'!$I$35="Normal",G27+G35+G43,G72+G87+G102)</f>
        <v>8499.6562000000013</v>
      </c>
      <c r="H52" s="662">
        <f>IF('Project Assumptions'!$I$35="Normal",H27+H35+H43,H72+H87+H102)</f>
        <v>8048.04792</v>
      </c>
      <c r="I52" s="662">
        <f>IF('Project Assumptions'!$I$35="Normal",I27+I35+I43,I72+I87+I102)</f>
        <v>7464.2371600000006</v>
      </c>
      <c r="J52" s="662">
        <f>IF('Project Assumptions'!$I$35="Normal",J27+J35+J43,J72+J87+J102)</f>
        <v>7095.4962999999998</v>
      </c>
      <c r="K52" s="662">
        <f>IF('Project Assumptions'!$I$35="Normal",K27+K35+K43,K72+K87+K102)</f>
        <v>6726.7554399999999</v>
      </c>
      <c r="L52" s="662">
        <f>IF('Project Assumptions'!$I$35="Normal",L27+L35+L43,L72+L87+L102)</f>
        <v>6305.84663</v>
      </c>
      <c r="M52" s="662">
        <f>IF('Project Assumptions'!$I$35="Normal",M27+M35+M43,M72+M87+M102)</f>
        <v>5884.9378200000001</v>
      </c>
      <c r="N52" s="662">
        <f>IF('Project Assumptions'!$I$35="Normal",N27+N35+N43,N72+N87+N102)</f>
        <v>5199.6240500000004</v>
      </c>
      <c r="O52" s="662">
        <f>IF('Project Assumptions'!$I$35="Normal",O27+O35+O43,O72+O87+O102)</f>
        <v>4329.9398499999998</v>
      </c>
      <c r="P52" s="662">
        <f>IF('Project Assumptions'!$I$35="Normal",P27+P35+P43,P72+P87+P102)</f>
        <v>4121.2680499999997</v>
      </c>
      <c r="Q52" s="662">
        <f>IF('Project Assumptions'!$I$35="Normal",Q27+Q35+Q43,Q72+Q87+Q102)</f>
        <v>3860.4283</v>
      </c>
      <c r="R52" s="662">
        <f>IF('Project Assumptions'!$I$35="Normal",R27+R35+R43,R72+R87+R102)</f>
        <v>3599.5885499999999</v>
      </c>
      <c r="S52" s="662">
        <f>IF('Project Assumptions'!$I$35="Normal",S27+S35+S43,S72+S87+S102)</f>
        <v>3338.7487999999998</v>
      </c>
      <c r="T52" s="662">
        <f>IF('Project Assumptions'!$I$35="Normal",T27+T35+T43,T72+T87+T102)</f>
        <v>3077.9090499999998</v>
      </c>
      <c r="U52" s="662">
        <f>IF('Project Assumptions'!$I$35="Normal",U27+U35+U43,U72+U87+U102)</f>
        <v>2817.0693000000001</v>
      </c>
      <c r="V52" s="662">
        <f>IF('Project Assumptions'!$I$35="Normal",V27+V35+V43,V72+V87+V102)</f>
        <v>2295.3897999999999</v>
      </c>
      <c r="W52" s="662">
        <f>IF('Project Assumptions'!$I$35="Normal",W27+W35+W43,W72+W87+W102)</f>
        <v>1669.3743999999999</v>
      </c>
      <c r="X52" s="662">
        <f>IF('Project Assumptions'!$I$35="Normal",X27+X35+X43,X72+X87+X102)</f>
        <v>886.85514999999998</v>
      </c>
      <c r="Y52" s="708">
        <f>IF('Project Assumptions'!$I$35="Normal",Y27+Y35+Y43,Y72+Y87+Y102)</f>
        <v>0</v>
      </c>
      <c r="Z52" s="499"/>
      <c r="AA52" s="499"/>
      <c r="AB52" s="499"/>
      <c r="AC52" s="130"/>
    </row>
    <row r="53" spans="1:30" s="120" customFormat="1">
      <c r="A53" s="706" t="s">
        <v>99</v>
      </c>
      <c r="B53" s="657"/>
      <c r="C53" s="657"/>
      <c r="D53" s="657"/>
      <c r="E53" s="662">
        <f>IF('Project Assumptions'!$I$35="Normal",E28+E36+E44,E73+E88+E103)</f>
        <v>4746</v>
      </c>
      <c r="F53" s="662">
        <f>IF('Project Assumptions'!$I$35="Normal",F28+F36+F44,F73+F88+F103)</f>
        <v>4746</v>
      </c>
      <c r="G53" s="662">
        <f>IF('Project Assumptions'!$I$35="Normal",G28+G36+G44,G73+G88+G103)</f>
        <v>6492.4</v>
      </c>
      <c r="H53" s="662">
        <f>IF('Project Assumptions'!$I$35="Normal",H28+H36+H44,H73+H88+H103)</f>
        <v>8238.7999999999993</v>
      </c>
      <c r="I53" s="662">
        <f>IF('Project Assumptions'!$I$35="Normal",I28+I36+I44,I73+I88+I103)</f>
        <v>4768.3</v>
      </c>
      <c r="J53" s="662">
        <f>IF('Project Assumptions'!$I$35="Normal",J28+J36+J44,J73+J88+J103)</f>
        <v>4768.3</v>
      </c>
      <c r="K53" s="662">
        <f>IF('Project Assumptions'!$I$35="Normal",K28+K36+K44,K73+K88+K103)</f>
        <v>5406.05</v>
      </c>
      <c r="L53" s="662">
        <f>IF('Project Assumptions'!$I$35="Normal",L28+L36+L44,L73+L88+L103)</f>
        <v>5406.05</v>
      </c>
      <c r="M53" s="662">
        <f>IF('Project Assumptions'!$I$35="Normal",M28+M36+M44,M73+M88+M103)</f>
        <v>8898.85</v>
      </c>
      <c r="N53" s="662">
        <f>IF('Project Assumptions'!$I$35="Normal",N28+N36+N44,N73+N88+N103)</f>
        <v>11283</v>
      </c>
      <c r="O53" s="662">
        <f>IF('Project Assumptions'!$I$35="Normal",O28+O36+O44,O73+O88+O103)</f>
        <v>2551</v>
      </c>
      <c r="P53" s="662">
        <f>IF('Project Assumptions'!$I$35="Normal",P28+P36+P44,P73+P88+P103)</f>
        <v>3188.75</v>
      </c>
      <c r="Q53" s="662">
        <f>IF('Project Assumptions'!$I$35="Normal",Q28+Q36+Q44,Q73+Q88+Q103)</f>
        <v>3188.75</v>
      </c>
      <c r="R53" s="662">
        <f>IF('Project Assumptions'!$I$35="Normal",R28+R36+R44,R73+R88+R103)</f>
        <v>3188.75</v>
      </c>
      <c r="S53" s="662">
        <f>IF('Project Assumptions'!$I$35="Normal",S28+S36+S44,S73+S88+S103)</f>
        <v>3188.75</v>
      </c>
      <c r="T53" s="662">
        <f>IF('Project Assumptions'!$I$35="Normal",T28+T36+T44,T73+T88+T103)</f>
        <v>3188.75</v>
      </c>
      <c r="U53" s="662">
        <f>IF('Project Assumptions'!$I$35="Normal",U28+U36+U44,U73+U88+U103)</f>
        <v>6377.5</v>
      </c>
      <c r="V53" s="662">
        <f>IF('Project Assumptions'!$I$35="Normal",V28+V36+V44,V73+V88+V103)</f>
        <v>7653</v>
      </c>
      <c r="W53" s="662">
        <f>IF('Project Assumptions'!$I$35="Normal",W28+W36+W44,W73+W88+W103)</f>
        <v>9566.25</v>
      </c>
      <c r="X53" s="662">
        <f>IF('Project Assumptions'!$I$35="Normal",X28+X36+X44,X73+X88+X103)</f>
        <v>10841.75</v>
      </c>
      <c r="Y53" s="708">
        <f>IF('Project Assumptions'!$I$35="Normal",Y28+Y36+Y44,Y73+Y88+Y103)</f>
        <v>0</v>
      </c>
      <c r="Z53" s="499"/>
      <c r="AA53" s="499"/>
      <c r="AB53" s="499"/>
      <c r="AC53" s="130"/>
    </row>
    <row r="54" spans="1:30" s="120" customFormat="1">
      <c r="A54" s="706" t="s">
        <v>100</v>
      </c>
      <c r="B54" s="657"/>
      <c r="C54" s="657"/>
      <c r="D54" s="657"/>
      <c r="E54" s="662">
        <f>IF('Project Assumptions'!$I$35="Normal",E29+E37+E45,E74+E89+E104)</f>
        <v>13884.4678</v>
      </c>
      <c r="F54" s="662">
        <f>IF('Project Assumptions'!$I$35="Normal",F29+F37+F45,F74+F89+F104)</f>
        <v>13565.062</v>
      </c>
      <c r="G54" s="662">
        <f>IF('Project Assumptions'!$I$35="Normal",G29+G37+G45,G74+G89+G104)</f>
        <v>14992.056200000001</v>
      </c>
      <c r="H54" s="662">
        <f>IF('Project Assumptions'!$I$35="Normal",H29+H37+H45,H74+H89+H104)</f>
        <v>16286.84792</v>
      </c>
      <c r="I54" s="662">
        <f>IF('Project Assumptions'!$I$35="Normal",I29+I37+I45,I74+I89+I104)</f>
        <v>12232.53716</v>
      </c>
      <c r="J54" s="662">
        <f>IF('Project Assumptions'!$I$35="Normal",J29+J37+J45,J74+J89+J104)</f>
        <v>11863.7963</v>
      </c>
      <c r="K54" s="662">
        <f>IF('Project Assumptions'!$I$35="Normal",K29+K37+K45,K74+K89+K104)</f>
        <v>12132.80544</v>
      </c>
      <c r="L54" s="662">
        <f>IF('Project Assumptions'!$I$35="Normal",L29+L37+L45,L74+L89+L104)</f>
        <v>11711.896629999999</v>
      </c>
      <c r="M54" s="662">
        <f>IF('Project Assumptions'!$I$35="Normal",M29+M37+M45,M74+M89+M104)</f>
        <v>14783.787820000001</v>
      </c>
      <c r="N54" s="662">
        <f>IF('Project Assumptions'!$I$35="Normal",N29+N37+N45,N74+N89+N104)</f>
        <v>16482.624049999999</v>
      </c>
      <c r="O54" s="662">
        <f>IF('Project Assumptions'!$I$35="Normal",O29+O37+O45,O74+O89+O104)</f>
        <v>6880.9398499999998</v>
      </c>
      <c r="P54" s="662">
        <f>IF('Project Assumptions'!$I$35="Normal",P29+P37+P45,P74+P89+P104)</f>
        <v>7310.0180499999997</v>
      </c>
      <c r="Q54" s="662">
        <f>IF('Project Assumptions'!$I$35="Normal",Q29+Q37+Q45,Q74+Q89+Q104)</f>
        <v>7049.1782999999996</v>
      </c>
      <c r="R54" s="662">
        <f>IF('Project Assumptions'!$I$35="Normal",R29+R37+R45,R74+R89+R104)</f>
        <v>6788.3385500000004</v>
      </c>
      <c r="S54" s="662">
        <f>IF('Project Assumptions'!$I$35="Normal",S29+S37+S45,S74+S89+S104)</f>
        <v>6527.4987999999994</v>
      </c>
      <c r="T54" s="662">
        <f>IF('Project Assumptions'!$I$35="Normal",T29+T37+T45,T74+T89+T104)</f>
        <v>6266.6590500000002</v>
      </c>
      <c r="U54" s="662">
        <f>IF('Project Assumptions'!$I$35="Normal",U29+U37+U45,U74+U89+U104)</f>
        <v>9194.5692999999992</v>
      </c>
      <c r="V54" s="662">
        <f>IF('Project Assumptions'!$I$35="Normal",V29+V37+V45,V74+V89+V104)</f>
        <v>9948.3898000000008</v>
      </c>
      <c r="W54" s="662">
        <f>IF('Project Assumptions'!$I$35="Normal",W29+W37+W45,W74+W89+W104)</f>
        <v>11235.624400000001</v>
      </c>
      <c r="X54" s="662">
        <f>IF('Project Assumptions'!$I$35="Normal",X29+X37+X45,X74+X89+X104)</f>
        <v>11728.605149999999</v>
      </c>
      <c r="Y54" s="708">
        <f>IF('Project Assumptions'!$I$35="Normal",Y29+Y37+Y45,Y74+Y89+Y104)</f>
        <v>0</v>
      </c>
      <c r="Z54" s="499"/>
      <c r="AA54" s="499"/>
      <c r="AB54" s="499"/>
      <c r="AC54" s="130"/>
    </row>
    <row r="55" spans="1:30" s="120" customFormat="1" ht="12.6" customHeight="1">
      <c r="A55" s="706" t="s">
        <v>101</v>
      </c>
      <c r="B55" s="709"/>
      <c r="C55" s="709"/>
      <c r="D55" s="657"/>
      <c r="E55" s="650">
        <f>IF('Project Assumptions'!$I$35="Normal",E30+E38+E46,E75+E90+E105)</f>
        <v>112941</v>
      </c>
      <c r="F55" s="650">
        <f>IF('Project Assumptions'!$I$35="Normal",F30+F38+F46,F75+F90+F105)</f>
        <v>108195</v>
      </c>
      <c r="G55" s="650">
        <f>IF('Project Assumptions'!$I$35="Normal",G30+G38+G46,G75+G90+G105)</f>
        <v>101702.6</v>
      </c>
      <c r="H55" s="650">
        <f>IF('Project Assumptions'!$I$35="Normal",H30+H38+H46,H75+H90+H105)</f>
        <v>93463.8</v>
      </c>
      <c r="I55" s="650">
        <f>IF('Project Assumptions'!$I$35="Normal",I30+I38+I46,I75+I90+I105)</f>
        <v>88695.5</v>
      </c>
      <c r="J55" s="650">
        <f>IF('Project Assumptions'!$I$35="Normal",J30+J38+J46,J75+J90+J105)</f>
        <v>83927.2</v>
      </c>
      <c r="K55" s="650">
        <f>IF('Project Assumptions'!$I$35="Normal",K30+K38+K46,K75+K90+K105)</f>
        <v>78521.149999999994</v>
      </c>
      <c r="L55" s="650">
        <f>IF('Project Assumptions'!$I$35="Normal",L30+L38+L46,L75+L90+L105)</f>
        <v>73115.100000000006</v>
      </c>
      <c r="M55" s="650">
        <f>IF('Project Assumptions'!$I$35="Normal",M30+M38+M46,M75+M90+M105)</f>
        <v>64216.25</v>
      </c>
      <c r="N55" s="650">
        <f>IF('Project Assumptions'!$I$35="Normal",N30+N38+N46,N75+N90+N105)</f>
        <v>52933.25</v>
      </c>
      <c r="O55" s="650">
        <f>IF('Project Assumptions'!$I$35="Normal",O30+O38+O46,O75+O90+O105)</f>
        <v>50382.25</v>
      </c>
      <c r="P55" s="650">
        <f>IF('Project Assumptions'!$I$35="Normal",P30+P38+P46,P75+P90+P105)</f>
        <v>47193.5</v>
      </c>
      <c r="Q55" s="650">
        <f>IF('Project Assumptions'!$I$35="Normal",Q30+Q38+Q46,Q75+Q90+Q105)</f>
        <v>44004.75</v>
      </c>
      <c r="R55" s="650">
        <f>IF('Project Assumptions'!$I$35="Normal",R30+R38+R46,R75+R90+R105)</f>
        <v>40816</v>
      </c>
      <c r="S55" s="650">
        <f>IF('Project Assumptions'!$I$35="Normal",S30+S38+S46,S75+S90+S105)</f>
        <v>37627.25</v>
      </c>
      <c r="T55" s="650">
        <f>IF('Project Assumptions'!$I$35="Normal",T30+T38+T46,T75+T90+T105)</f>
        <v>34438.5</v>
      </c>
      <c r="U55" s="650">
        <f>IF('Project Assumptions'!$I$35="Normal",U30+U38+U46,U75+U90+U105)</f>
        <v>28061</v>
      </c>
      <c r="V55" s="650">
        <f>IF('Project Assumptions'!$I$35="Normal",V30+V38+V46,V75+V90+V105)</f>
        <v>20408</v>
      </c>
      <c r="W55" s="650">
        <f>IF('Project Assumptions'!$I$35="Normal",W30+W38+W46,W75+W90+W105)</f>
        <v>10841.75</v>
      </c>
      <c r="X55" s="650">
        <f>IF('Project Assumptions'!$I$35="Normal",X30+X38+X46,X75+X90+X105)</f>
        <v>0</v>
      </c>
      <c r="Y55" s="707">
        <f>IF('Project Assumptions'!$I$35="Normal",Y30+Y38+Y46,Y75+Y90+Y105)</f>
        <v>0</v>
      </c>
      <c r="Z55" s="495"/>
      <c r="AA55" s="495"/>
      <c r="AB55" s="495"/>
      <c r="AC55" s="126"/>
    </row>
    <row r="56" spans="1:30" s="120" customFormat="1" ht="12.6" customHeight="1">
      <c r="A56" s="706" t="s">
        <v>206</v>
      </c>
      <c r="B56" s="709"/>
      <c r="C56" s="709"/>
      <c r="D56" s="657"/>
      <c r="E56" s="710">
        <f>SUMPRODUCT(E4:AC4,E53:AC53)/B22</f>
        <v>7.5221288886383242</v>
      </c>
      <c r="F56" s="662"/>
      <c r="G56" s="662"/>
      <c r="H56" s="662"/>
      <c r="I56" s="662"/>
      <c r="J56" s="662"/>
      <c r="K56" s="662"/>
      <c r="L56" s="662"/>
      <c r="M56" s="662"/>
      <c r="N56" s="662"/>
      <c r="O56" s="662"/>
      <c r="P56" s="662"/>
      <c r="Q56" s="662"/>
      <c r="R56" s="662"/>
      <c r="S56" s="662"/>
      <c r="T56" s="662"/>
      <c r="U56" s="662"/>
      <c r="V56" s="662"/>
      <c r="W56" s="662"/>
      <c r="X56" s="662"/>
      <c r="Y56" s="708"/>
      <c r="Z56" s="499"/>
      <c r="AA56" s="499"/>
      <c r="AB56" s="499"/>
      <c r="AC56" s="130"/>
    </row>
    <row r="57" spans="1:30" s="121" customFormat="1" ht="12.6" customHeight="1">
      <c r="A57" s="711"/>
      <c r="B57" s="712"/>
      <c r="C57" s="712"/>
      <c r="D57" s="241"/>
      <c r="E57" s="713"/>
      <c r="F57" s="713"/>
      <c r="G57" s="713"/>
      <c r="H57" s="713"/>
      <c r="I57" s="713"/>
      <c r="J57" s="713"/>
      <c r="K57" s="713"/>
      <c r="L57" s="713"/>
      <c r="M57" s="713"/>
      <c r="N57" s="713"/>
      <c r="O57" s="713"/>
      <c r="P57" s="713"/>
      <c r="Q57" s="713"/>
      <c r="R57" s="713"/>
      <c r="S57" s="713"/>
      <c r="T57" s="713"/>
      <c r="U57" s="713"/>
      <c r="V57" s="713"/>
      <c r="W57" s="713"/>
      <c r="X57" s="713"/>
      <c r="Y57" s="714"/>
      <c r="Z57" s="505"/>
      <c r="AA57" s="505"/>
      <c r="AB57" s="505"/>
      <c r="AC57" s="122"/>
    </row>
    <row r="58" spans="1:30" s="121" customFormat="1" ht="12.6" customHeight="1">
      <c r="A58" s="711" t="s">
        <v>205</v>
      </c>
      <c r="B58" s="712"/>
      <c r="C58" s="712"/>
      <c r="D58" s="241"/>
      <c r="E58" s="715">
        <f t="shared" ref="E58:Y58" si="4">E45+E37+E29</f>
        <v>5376.8776809803894</v>
      </c>
      <c r="F58" s="715">
        <f t="shared" si="4"/>
        <v>12823.618859974122</v>
      </c>
      <c r="G58" s="715">
        <f t="shared" si="4"/>
        <v>12993.986843826673</v>
      </c>
      <c r="H58" s="715">
        <f t="shared" si="4"/>
        <v>12963.243982872222</v>
      </c>
      <c r="I58" s="715">
        <f t="shared" si="4"/>
        <v>10027.91749198563</v>
      </c>
      <c r="J58" s="715">
        <f t="shared" si="4"/>
        <v>11779.681293273185</v>
      </c>
      <c r="K58" s="715">
        <f t="shared" si="4"/>
        <v>11905.489666355479</v>
      </c>
      <c r="L58" s="715">
        <f t="shared" si="4"/>
        <v>12030.019951519154</v>
      </c>
      <c r="M58" s="715">
        <f t="shared" si="4"/>
        <v>12403.159559200436</v>
      </c>
      <c r="N58" s="715">
        <f t="shared" si="4"/>
        <v>12527.295596978778</v>
      </c>
      <c r="O58" s="715">
        <f t="shared" si="4"/>
        <v>12917.172925468974</v>
      </c>
      <c r="P58" s="715">
        <f t="shared" si="4"/>
        <v>12723.134943884541</v>
      </c>
      <c r="Q58" s="715">
        <f t="shared" si="4"/>
        <v>13152.347608626271</v>
      </c>
      <c r="R58" s="715">
        <f t="shared" si="4"/>
        <v>13307.464593898438</v>
      </c>
      <c r="S58" s="715">
        <f t="shared" si="4"/>
        <v>13457.258010097739</v>
      </c>
      <c r="T58" s="715">
        <f t="shared" si="4"/>
        <v>13601.304783053309</v>
      </c>
      <c r="U58" s="715">
        <f t="shared" si="4"/>
        <v>13752.474304710728</v>
      </c>
      <c r="V58" s="715">
        <f t="shared" si="4"/>
        <v>13903.644929918175</v>
      </c>
      <c r="W58" s="715">
        <f t="shared" si="4"/>
        <v>14047.672677874949</v>
      </c>
      <c r="X58" s="715">
        <f t="shared" si="4"/>
        <v>14144.10766221011</v>
      </c>
      <c r="Y58" s="716">
        <f t="shared" si="4"/>
        <v>0</v>
      </c>
      <c r="Z58" s="501"/>
      <c r="AA58" s="501"/>
      <c r="AB58" s="501"/>
      <c r="AC58" s="123"/>
    </row>
    <row r="59" spans="1:30" s="121" customFormat="1" ht="12.6" customHeight="1">
      <c r="A59" s="711"/>
      <c r="B59" s="712"/>
      <c r="C59" s="712"/>
      <c r="D59" s="241"/>
      <c r="E59" s="715"/>
      <c r="F59" s="715"/>
      <c r="G59" s="715"/>
      <c r="H59" s="715"/>
      <c r="I59" s="715"/>
      <c r="J59" s="715"/>
      <c r="K59" s="715"/>
      <c r="L59" s="715"/>
      <c r="M59" s="715"/>
      <c r="N59" s="715"/>
      <c r="O59" s="715"/>
      <c r="P59" s="715"/>
      <c r="Q59" s="715"/>
      <c r="R59" s="715"/>
      <c r="S59" s="715"/>
      <c r="T59" s="715"/>
      <c r="U59" s="715"/>
      <c r="V59" s="715"/>
      <c r="W59" s="715"/>
      <c r="X59" s="715"/>
      <c r="Y59" s="716"/>
      <c r="Z59" s="501"/>
      <c r="AA59" s="501"/>
      <c r="AB59" s="501"/>
      <c r="AC59" s="123"/>
    </row>
    <row r="60" spans="1:30" s="121" customFormat="1" ht="12.6" customHeight="1" thickBot="1">
      <c r="A60" s="717" t="s">
        <v>353</v>
      </c>
      <c r="B60" s="718"/>
      <c r="C60" s="718"/>
      <c r="D60" s="719"/>
      <c r="E60" s="720">
        <f>E6/E16</f>
        <v>1.5</v>
      </c>
      <c r="F60" s="720">
        <f t="shared" ref="F60:Y60" si="5">F6/F16</f>
        <v>1.5</v>
      </c>
      <c r="G60" s="720">
        <f t="shared" si="5"/>
        <v>1.5</v>
      </c>
      <c r="H60" s="720">
        <f t="shared" si="5"/>
        <v>1.5</v>
      </c>
      <c r="I60" s="720">
        <f t="shared" si="5"/>
        <v>2.5</v>
      </c>
      <c r="J60" s="720">
        <f t="shared" si="5"/>
        <v>2.5</v>
      </c>
      <c r="K60" s="720">
        <f t="shared" si="5"/>
        <v>2.5</v>
      </c>
      <c r="L60" s="720">
        <f t="shared" si="5"/>
        <v>2.5</v>
      </c>
      <c r="M60" s="720">
        <f t="shared" si="5"/>
        <v>2.5</v>
      </c>
      <c r="N60" s="720">
        <f t="shared" si="5"/>
        <v>2.5</v>
      </c>
      <c r="O60" s="720">
        <f t="shared" si="5"/>
        <v>2.5</v>
      </c>
      <c r="P60" s="720">
        <f t="shared" si="5"/>
        <v>2.5</v>
      </c>
      <c r="Q60" s="720">
        <f t="shared" si="5"/>
        <v>2.5</v>
      </c>
      <c r="R60" s="720">
        <f t="shared" si="5"/>
        <v>2.5</v>
      </c>
      <c r="S60" s="720">
        <f t="shared" si="5"/>
        <v>2.5</v>
      </c>
      <c r="T60" s="720">
        <f t="shared" si="5"/>
        <v>2.5</v>
      </c>
      <c r="U60" s="720">
        <f t="shared" si="5"/>
        <v>2.5</v>
      </c>
      <c r="V60" s="720">
        <f t="shared" si="5"/>
        <v>2.5</v>
      </c>
      <c r="W60" s="720">
        <f t="shared" si="5"/>
        <v>2.5</v>
      </c>
      <c r="X60" s="720">
        <f t="shared" si="5"/>
        <v>2.5</v>
      </c>
      <c r="Y60" s="721" t="e">
        <f t="shared" si="5"/>
        <v>#DIV/0!</v>
      </c>
      <c r="Z60" s="506"/>
      <c r="AA60" s="506"/>
      <c r="AB60" s="506"/>
      <c r="AC60" s="145"/>
    </row>
    <row r="61" spans="1:30" s="121" customFormat="1" ht="12.6" customHeight="1">
      <c r="A61" s="163"/>
      <c r="B61" s="210"/>
      <c r="C61" s="210"/>
      <c r="D61" s="163"/>
      <c r="E61" s="501"/>
      <c r="F61" s="501"/>
      <c r="G61" s="501"/>
      <c r="H61" s="501"/>
      <c r="I61" s="501"/>
      <c r="J61" s="501"/>
      <c r="K61" s="501"/>
      <c r="L61" s="501"/>
      <c r="M61" s="501"/>
      <c r="N61" s="501"/>
      <c r="O61" s="501"/>
      <c r="P61" s="501"/>
      <c r="Q61" s="501"/>
      <c r="R61" s="501"/>
      <c r="S61" s="501"/>
      <c r="T61" s="501"/>
      <c r="U61" s="501"/>
      <c r="V61" s="501"/>
      <c r="W61" s="501"/>
      <c r="X61" s="501"/>
      <c r="Y61" s="501"/>
      <c r="Z61" s="501"/>
      <c r="AA61" s="501"/>
      <c r="AB61" s="501"/>
      <c r="AC61" s="123"/>
    </row>
    <row r="62" spans="1:30" s="121" customFormat="1" ht="12.6" customHeight="1">
      <c r="A62" s="163" t="s">
        <v>354</v>
      </c>
      <c r="B62" s="210"/>
      <c r="C62" s="210"/>
      <c r="D62" s="163"/>
      <c r="E62" s="505" t="str">
        <f t="shared" ref="E62:Y62" si="6">IF(E58&lt;&gt;E16,"ERROR","")</f>
        <v/>
      </c>
      <c r="F62" s="505" t="str">
        <f t="shared" si="6"/>
        <v/>
      </c>
      <c r="G62" s="505" t="str">
        <f t="shared" si="6"/>
        <v/>
      </c>
      <c r="H62" s="505" t="str">
        <f t="shared" si="6"/>
        <v/>
      </c>
      <c r="I62" s="505" t="str">
        <f t="shared" si="6"/>
        <v/>
      </c>
      <c r="J62" s="505" t="str">
        <f t="shared" si="6"/>
        <v/>
      </c>
      <c r="K62" s="505" t="str">
        <f t="shared" si="6"/>
        <v/>
      </c>
      <c r="L62" s="505" t="str">
        <f t="shared" si="6"/>
        <v/>
      </c>
      <c r="M62" s="505" t="str">
        <f t="shared" si="6"/>
        <v/>
      </c>
      <c r="N62" s="505" t="str">
        <f t="shared" si="6"/>
        <v/>
      </c>
      <c r="O62" s="505" t="str">
        <f t="shared" si="6"/>
        <v/>
      </c>
      <c r="P62" s="505" t="str">
        <f t="shared" si="6"/>
        <v/>
      </c>
      <c r="Q62" s="505" t="str">
        <f t="shared" si="6"/>
        <v/>
      </c>
      <c r="R62" s="505" t="str">
        <f t="shared" si="6"/>
        <v/>
      </c>
      <c r="S62" s="505" t="str">
        <f t="shared" si="6"/>
        <v/>
      </c>
      <c r="T62" s="505" t="str">
        <f t="shared" si="6"/>
        <v/>
      </c>
      <c r="U62" s="505" t="str">
        <f t="shared" si="6"/>
        <v/>
      </c>
      <c r="V62" s="505" t="str">
        <f t="shared" si="6"/>
        <v/>
      </c>
      <c r="W62" s="505" t="str">
        <f t="shared" si="6"/>
        <v/>
      </c>
      <c r="X62" s="505" t="str">
        <f t="shared" si="6"/>
        <v/>
      </c>
      <c r="Y62" s="505" t="str">
        <f t="shared" si="6"/>
        <v/>
      </c>
      <c r="Z62" s="505"/>
      <c r="AA62" s="505"/>
      <c r="AB62" s="505"/>
      <c r="AC62" s="122"/>
    </row>
    <row r="63" spans="1:30">
      <c r="A63" s="175"/>
      <c r="B63" s="175"/>
      <c r="C63" s="175"/>
      <c r="D63" s="175"/>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96"/>
      <c r="AD63" s="96"/>
    </row>
    <row r="64" spans="1:30">
      <c r="A64" s="726" t="s">
        <v>519</v>
      </c>
      <c r="B64" s="630"/>
      <c r="C64" s="630"/>
      <c r="D64" s="630"/>
      <c r="E64" s="630"/>
      <c r="F64" s="630"/>
      <c r="G64" s="630"/>
      <c r="H64" s="630"/>
      <c r="I64" s="630"/>
      <c r="J64" s="630"/>
      <c r="K64" s="630"/>
      <c r="L64" s="630"/>
      <c r="M64" s="630"/>
      <c r="N64" s="630"/>
      <c r="O64" s="630"/>
      <c r="P64" s="630"/>
      <c r="Q64" s="630"/>
      <c r="R64" s="630"/>
      <c r="S64" s="630"/>
      <c r="T64" s="630"/>
      <c r="U64" s="630"/>
      <c r="V64" s="630"/>
      <c r="W64" s="630"/>
      <c r="X64" s="630"/>
      <c r="Y64" s="631"/>
      <c r="AD64" s="119"/>
    </row>
    <row r="65" spans="1:53" ht="12.6" customHeight="1">
      <c r="A65" s="758" t="s">
        <v>520</v>
      </c>
      <c r="B65" s="1014">
        <f>Principal1</f>
        <v>18984</v>
      </c>
      <c r="C65" s="241"/>
      <c r="D65" s="241"/>
      <c r="E65" s="241"/>
      <c r="F65" s="241"/>
      <c r="G65" s="241"/>
      <c r="H65" s="241"/>
      <c r="I65" s="241"/>
      <c r="J65" s="241"/>
      <c r="K65" s="241"/>
      <c r="L65" s="241"/>
      <c r="M65" s="241"/>
      <c r="N65" s="241"/>
      <c r="O65" s="241"/>
      <c r="P65" s="241"/>
      <c r="Q65" s="241"/>
      <c r="R65" s="241"/>
      <c r="S65" s="241"/>
      <c r="T65" s="241"/>
      <c r="U65" s="241"/>
      <c r="V65" s="241"/>
      <c r="W65" s="241"/>
      <c r="X65" s="241"/>
      <c r="Y65" s="807"/>
    </row>
    <row r="66" spans="1:53" s="1" customFormat="1" ht="12.6" customHeight="1">
      <c r="A66" s="678" t="s">
        <v>202</v>
      </c>
      <c r="B66" s="1015">
        <f>_Int1</f>
        <v>6.7299999999999999E-2</v>
      </c>
      <c r="C66" s="241"/>
      <c r="D66" s="241"/>
      <c r="E66" s="241"/>
      <c r="F66" s="241"/>
      <c r="G66" s="241"/>
      <c r="H66" s="241"/>
      <c r="I66" s="241"/>
      <c r="J66" s="241"/>
      <c r="K66" s="241"/>
      <c r="L66" s="241"/>
      <c r="M66" s="241"/>
      <c r="N66" s="241"/>
      <c r="O66" s="241"/>
      <c r="P66" s="241"/>
      <c r="Q66" s="241"/>
      <c r="R66" s="241"/>
      <c r="S66" s="241"/>
      <c r="T66" s="241"/>
      <c r="U66" s="241"/>
      <c r="V66" s="241"/>
      <c r="W66" s="241"/>
      <c r="X66" s="241"/>
      <c r="Y66" s="807"/>
      <c r="Z66" s="163"/>
      <c r="AA66" s="163"/>
      <c r="AB66" s="163"/>
      <c r="AC66"/>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row>
    <row r="67" spans="1:53" s="125" customFormat="1" ht="12.6" customHeight="1">
      <c r="A67" s="678" t="s">
        <v>185</v>
      </c>
      <c r="B67" s="807">
        <f>Term1</f>
        <v>4</v>
      </c>
      <c r="C67" s="241"/>
      <c r="D67" s="241"/>
      <c r="E67" s="241"/>
      <c r="F67" s="241"/>
      <c r="G67" s="241"/>
      <c r="H67" s="241"/>
      <c r="I67" s="241"/>
      <c r="J67" s="241"/>
      <c r="K67" s="241"/>
      <c r="L67" s="241"/>
      <c r="M67" s="241"/>
      <c r="N67" s="241"/>
      <c r="O67" s="241"/>
      <c r="P67" s="241"/>
      <c r="Q67" s="241"/>
      <c r="R67" s="241"/>
      <c r="S67" s="241"/>
      <c r="T67" s="241"/>
      <c r="U67" s="241"/>
      <c r="V67" s="241"/>
      <c r="W67" s="241"/>
      <c r="X67" s="241"/>
      <c r="Y67" s="807"/>
      <c r="Z67" s="163"/>
      <c r="AA67" s="163"/>
      <c r="AB67" s="163"/>
      <c r="AC67"/>
      <c r="AF67" s="121"/>
    </row>
    <row r="68" spans="1:53" ht="12.6" customHeight="1">
      <c r="A68" s="683" t="s">
        <v>521</v>
      </c>
      <c r="B68" s="633">
        <f>GRACE1</f>
        <v>2</v>
      </c>
      <c r="C68" s="241"/>
      <c r="D68" s="241"/>
      <c r="E68" s="241"/>
      <c r="F68" s="241"/>
      <c r="G68" s="241"/>
      <c r="H68" s="241"/>
      <c r="I68" s="241"/>
      <c r="J68" s="241"/>
      <c r="K68" s="241"/>
      <c r="L68" s="241"/>
      <c r="M68" s="241"/>
      <c r="N68" s="241"/>
      <c r="O68" s="241"/>
      <c r="P68" s="241"/>
      <c r="Q68" s="241"/>
      <c r="R68" s="241"/>
      <c r="S68" s="241"/>
      <c r="T68" s="241"/>
      <c r="U68" s="241"/>
      <c r="V68" s="241"/>
      <c r="W68" s="241"/>
      <c r="X68" s="241"/>
      <c r="Y68" s="807"/>
    </row>
    <row r="69" spans="1:53" ht="12.6" customHeight="1">
      <c r="A69" s="678"/>
      <c r="B69" s="241"/>
      <c r="C69" s="1016" t="s">
        <v>522</v>
      </c>
      <c r="D69" s="241"/>
      <c r="E69" s="1017">
        <f>E4</f>
        <v>1</v>
      </c>
      <c r="F69" s="1017">
        <f t="shared" ref="F69:AC69" si="7">F4</f>
        <v>2</v>
      </c>
      <c r="G69" s="1017">
        <f t="shared" si="7"/>
        <v>3</v>
      </c>
      <c r="H69" s="1017">
        <f t="shared" si="7"/>
        <v>4</v>
      </c>
      <c r="I69" s="1017">
        <f t="shared" si="7"/>
        <v>5</v>
      </c>
      <c r="J69" s="1017">
        <f t="shared" si="7"/>
        <v>6</v>
      </c>
      <c r="K69" s="1017">
        <f t="shared" si="7"/>
        <v>7</v>
      </c>
      <c r="L69" s="1017">
        <f t="shared" si="7"/>
        <v>8</v>
      </c>
      <c r="M69" s="1017">
        <f t="shared" si="7"/>
        <v>9</v>
      </c>
      <c r="N69" s="1017">
        <f t="shared" si="7"/>
        <v>10</v>
      </c>
      <c r="O69" s="1017">
        <f t="shared" si="7"/>
        <v>11</v>
      </c>
      <c r="P69" s="1017">
        <f t="shared" si="7"/>
        <v>12</v>
      </c>
      <c r="Q69" s="1017">
        <f t="shared" si="7"/>
        <v>13</v>
      </c>
      <c r="R69" s="1017">
        <f t="shared" si="7"/>
        <v>14</v>
      </c>
      <c r="S69" s="1017">
        <f t="shared" si="7"/>
        <v>15</v>
      </c>
      <c r="T69" s="1017">
        <f t="shared" si="7"/>
        <v>16</v>
      </c>
      <c r="U69" s="1017">
        <f t="shared" si="7"/>
        <v>17</v>
      </c>
      <c r="V69" s="1017">
        <f t="shared" si="7"/>
        <v>18</v>
      </c>
      <c r="W69" s="1017">
        <f t="shared" si="7"/>
        <v>19</v>
      </c>
      <c r="X69" s="1017">
        <f t="shared" si="7"/>
        <v>20</v>
      </c>
      <c r="Y69" s="1018">
        <f t="shared" si="7"/>
        <v>21</v>
      </c>
      <c r="Z69" s="1019">
        <f t="shared" si="7"/>
        <v>0</v>
      </c>
      <c r="AA69" s="1019">
        <f t="shared" si="7"/>
        <v>0</v>
      </c>
      <c r="AB69" s="1019">
        <f t="shared" si="7"/>
        <v>0</v>
      </c>
      <c r="AC69" s="625">
        <f t="shared" si="7"/>
        <v>0</v>
      </c>
    </row>
    <row r="70" spans="1:53" ht="12.6" customHeight="1">
      <c r="A70" s="1020"/>
      <c r="B70" s="1021"/>
      <c r="C70" s="1021"/>
      <c r="D70" s="1021"/>
      <c r="E70" s="1022"/>
      <c r="F70" s="1022"/>
      <c r="G70" s="1022"/>
      <c r="H70" s="1022"/>
      <c r="I70" s="1022"/>
      <c r="J70" s="1022"/>
      <c r="K70" s="1022"/>
      <c r="L70" s="1022"/>
      <c r="M70" s="1022"/>
      <c r="N70" s="1022"/>
      <c r="O70" s="1022"/>
      <c r="P70" s="1022"/>
      <c r="Q70" s="1022"/>
      <c r="R70" s="1022"/>
      <c r="S70" s="1022"/>
      <c r="T70" s="241"/>
      <c r="U70" s="241"/>
      <c r="V70" s="241"/>
      <c r="W70" s="241"/>
      <c r="X70" s="241"/>
      <c r="Y70" s="807"/>
    </row>
    <row r="71" spans="1:53" ht="12.6" customHeight="1">
      <c r="A71" s="1023" t="s">
        <v>523</v>
      </c>
      <c r="B71" s="1024"/>
      <c r="C71" s="1025">
        <f>B65</f>
        <v>18984</v>
      </c>
      <c r="D71" s="241"/>
      <c r="E71" s="1026">
        <f>C71</f>
        <v>18984</v>
      </c>
      <c r="F71" s="1026">
        <f t="shared" ref="F71:AC71" si="8">E75</f>
        <v>14238</v>
      </c>
      <c r="G71" s="1026">
        <f t="shared" si="8"/>
        <v>9492</v>
      </c>
      <c r="H71" s="1026">
        <f t="shared" si="8"/>
        <v>4746</v>
      </c>
      <c r="I71" s="1026">
        <f t="shared" si="8"/>
        <v>0</v>
      </c>
      <c r="J71" s="1026">
        <f t="shared" si="8"/>
        <v>0</v>
      </c>
      <c r="K71" s="1026">
        <f t="shared" si="8"/>
        <v>0</v>
      </c>
      <c r="L71" s="1026">
        <f t="shared" si="8"/>
        <v>0</v>
      </c>
      <c r="M71" s="1026">
        <f t="shared" si="8"/>
        <v>0</v>
      </c>
      <c r="N71" s="1026">
        <f t="shared" si="8"/>
        <v>0</v>
      </c>
      <c r="O71" s="1026">
        <f t="shared" si="8"/>
        <v>0</v>
      </c>
      <c r="P71" s="1026">
        <f t="shared" si="8"/>
        <v>0</v>
      </c>
      <c r="Q71" s="1026">
        <f t="shared" si="8"/>
        <v>0</v>
      </c>
      <c r="R71" s="1026">
        <f t="shared" si="8"/>
        <v>0</v>
      </c>
      <c r="S71" s="1026">
        <f t="shared" si="8"/>
        <v>0</v>
      </c>
      <c r="T71" s="1026">
        <f t="shared" si="8"/>
        <v>0</v>
      </c>
      <c r="U71" s="1026">
        <f t="shared" si="8"/>
        <v>0</v>
      </c>
      <c r="V71" s="1026">
        <f t="shared" si="8"/>
        <v>0</v>
      </c>
      <c r="W71" s="1026">
        <f t="shared" si="8"/>
        <v>0</v>
      </c>
      <c r="X71" s="1026">
        <f t="shared" si="8"/>
        <v>0</v>
      </c>
      <c r="Y71" s="1027">
        <f t="shared" si="8"/>
        <v>0</v>
      </c>
      <c r="Z71" s="1028">
        <f t="shared" si="8"/>
        <v>0</v>
      </c>
      <c r="AA71" s="1028">
        <f t="shared" si="8"/>
        <v>0</v>
      </c>
      <c r="AB71" s="1028">
        <f t="shared" si="8"/>
        <v>0</v>
      </c>
      <c r="AC71" s="626">
        <f t="shared" si="8"/>
        <v>0</v>
      </c>
    </row>
    <row r="72" spans="1:53" ht="12.6" customHeight="1">
      <c r="A72" s="1023" t="s">
        <v>524</v>
      </c>
      <c r="B72" s="1029"/>
      <c r="C72" s="1026"/>
      <c r="D72" s="241"/>
      <c r="E72" s="1026">
        <f>E71*$B$66</f>
        <v>1277.6232</v>
      </c>
      <c r="F72" s="1026">
        <f t="shared" ref="F72:AC72" si="9">F71*$B$66</f>
        <v>958.2174</v>
      </c>
      <c r="G72" s="1026">
        <f t="shared" si="9"/>
        <v>638.8116</v>
      </c>
      <c r="H72" s="1026">
        <f t="shared" si="9"/>
        <v>319.4058</v>
      </c>
      <c r="I72" s="1026">
        <f t="shared" si="9"/>
        <v>0</v>
      </c>
      <c r="J72" s="1026">
        <f t="shared" si="9"/>
        <v>0</v>
      </c>
      <c r="K72" s="1026">
        <f t="shared" si="9"/>
        <v>0</v>
      </c>
      <c r="L72" s="1026">
        <f t="shared" si="9"/>
        <v>0</v>
      </c>
      <c r="M72" s="1026">
        <f t="shared" si="9"/>
        <v>0</v>
      </c>
      <c r="N72" s="1026">
        <f t="shared" si="9"/>
        <v>0</v>
      </c>
      <c r="O72" s="1026">
        <f t="shared" si="9"/>
        <v>0</v>
      </c>
      <c r="P72" s="1026">
        <f t="shared" si="9"/>
        <v>0</v>
      </c>
      <c r="Q72" s="1026">
        <f t="shared" si="9"/>
        <v>0</v>
      </c>
      <c r="R72" s="1026">
        <f t="shared" si="9"/>
        <v>0</v>
      </c>
      <c r="S72" s="1026">
        <f t="shared" si="9"/>
        <v>0</v>
      </c>
      <c r="T72" s="1026">
        <f t="shared" si="9"/>
        <v>0</v>
      </c>
      <c r="U72" s="1026">
        <f t="shared" si="9"/>
        <v>0</v>
      </c>
      <c r="V72" s="1026">
        <f t="shared" si="9"/>
        <v>0</v>
      </c>
      <c r="W72" s="1026">
        <f t="shared" si="9"/>
        <v>0</v>
      </c>
      <c r="X72" s="1026">
        <f t="shared" si="9"/>
        <v>0</v>
      </c>
      <c r="Y72" s="1027">
        <f t="shared" si="9"/>
        <v>0</v>
      </c>
      <c r="Z72" s="1028">
        <f t="shared" si="9"/>
        <v>0</v>
      </c>
      <c r="AA72" s="1028">
        <f t="shared" si="9"/>
        <v>0</v>
      </c>
      <c r="AB72" s="1028">
        <f t="shared" si="9"/>
        <v>0</v>
      </c>
      <c r="AC72" s="626">
        <f t="shared" si="9"/>
        <v>0</v>
      </c>
    </row>
    <row r="73" spans="1:53" ht="12.6" customHeight="1">
      <c r="A73" s="1023" t="s">
        <v>525</v>
      </c>
      <c r="B73" s="1024"/>
      <c r="C73" s="1026"/>
      <c r="D73" s="241"/>
      <c r="E73" s="1030">
        <f>$C$71*E77</f>
        <v>4746</v>
      </c>
      <c r="F73" s="1030">
        <f t="shared" ref="F73:AC73" si="10">$C$71*F77</f>
        <v>4746</v>
      </c>
      <c r="G73" s="1030">
        <f t="shared" si="10"/>
        <v>4746</v>
      </c>
      <c r="H73" s="1030">
        <f t="shared" si="10"/>
        <v>4746</v>
      </c>
      <c r="I73" s="1030">
        <f t="shared" si="10"/>
        <v>0</v>
      </c>
      <c r="J73" s="1030">
        <f t="shared" si="10"/>
        <v>0</v>
      </c>
      <c r="K73" s="1030">
        <f t="shared" si="10"/>
        <v>0</v>
      </c>
      <c r="L73" s="1030">
        <f t="shared" si="10"/>
        <v>0</v>
      </c>
      <c r="M73" s="1030">
        <f t="shared" si="10"/>
        <v>0</v>
      </c>
      <c r="N73" s="1030">
        <f t="shared" si="10"/>
        <v>0</v>
      </c>
      <c r="O73" s="1030">
        <f t="shared" si="10"/>
        <v>0</v>
      </c>
      <c r="P73" s="1030">
        <f t="shared" si="10"/>
        <v>0</v>
      </c>
      <c r="Q73" s="1030">
        <f t="shared" si="10"/>
        <v>0</v>
      </c>
      <c r="R73" s="1030">
        <f t="shared" si="10"/>
        <v>0</v>
      </c>
      <c r="S73" s="1030">
        <f t="shared" si="10"/>
        <v>0</v>
      </c>
      <c r="T73" s="1030">
        <f t="shared" si="10"/>
        <v>0</v>
      </c>
      <c r="U73" s="1030">
        <f t="shared" si="10"/>
        <v>0</v>
      </c>
      <c r="V73" s="1030">
        <f t="shared" si="10"/>
        <v>0</v>
      </c>
      <c r="W73" s="1030">
        <f t="shared" si="10"/>
        <v>0</v>
      </c>
      <c r="X73" s="1030">
        <f t="shared" si="10"/>
        <v>0</v>
      </c>
      <c r="Y73" s="1031">
        <f t="shared" si="10"/>
        <v>0</v>
      </c>
      <c r="Z73" s="1032">
        <f t="shared" si="10"/>
        <v>0</v>
      </c>
      <c r="AA73" s="1032">
        <f t="shared" si="10"/>
        <v>0</v>
      </c>
      <c r="AB73" s="1032">
        <f t="shared" si="10"/>
        <v>0</v>
      </c>
      <c r="AC73" s="627">
        <f t="shared" si="10"/>
        <v>0</v>
      </c>
    </row>
    <row r="74" spans="1:53" ht="12.6" customHeight="1">
      <c r="A74" s="1023" t="s">
        <v>526</v>
      </c>
      <c r="B74" s="1024"/>
      <c r="C74" s="1033"/>
      <c r="D74" s="241"/>
      <c r="E74" s="1033">
        <f>E73+E72</f>
        <v>6023.6232</v>
      </c>
      <c r="F74" s="1033">
        <f t="shared" ref="F74:AC74" si="11">F73+F72</f>
        <v>5704.2173999999995</v>
      </c>
      <c r="G74" s="1033">
        <f t="shared" si="11"/>
        <v>5384.8116</v>
      </c>
      <c r="H74" s="1033">
        <f t="shared" si="11"/>
        <v>5065.4058000000005</v>
      </c>
      <c r="I74" s="1033">
        <f t="shared" si="11"/>
        <v>0</v>
      </c>
      <c r="J74" s="1033">
        <f t="shared" si="11"/>
        <v>0</v>
      </c>
      <c r="K74" s="1033">
        <f t="shared" si="11"/>
        <v>0</v>
      </c>
      <c r="L74" s="1033">
        <f t="shared" si="11"/>
        <v>0</v>
      </c>
      <c r="M74" s="1033">
        <f t="shared" si="11"/>
        <v>0</v>
      </c>
      <c r="N74" s="1033">
        <f t="shared" si="11"/>
        <v>0</v>
      </c>
      <c r="O74" s="1033">
        <f t="shared" si="11"/>
        <v>0</v>
      </c>
      <c r="P74" s="1033">
        <f t="shared" si="11"/>
        <v>0</v>
      </c>
      <c r="Q74" s="1033">
        <f t="shared" si="11"/>
        <v>0</v>
      </c>
      <c r="R74" s="1033">
        <f t="shared" si="11"/>
        <v>0</v>
      </c>
      <c r="S74" s="1033">
        <f t="shared" si="11"/>
        <v>0</v>
      </c>
      <c r="T74" s="1033">
        <f t="shared" si="11"/>
        <v>0</v>
      </c>
      <c r="U74" s="1033">
        <f t="shared" si="11"/>
        <v>0</v>
      </c>
      <c r="V74" s="1033">
        <f t="shared" si="11"/>
        <v>0</v>
      </c>
      <c r="W74" s="1033">
        <f t="shared" si="11"/>
        <v>0</v>
      </c>
      <c r="X74" s="1033">
        <f t="shared" si="11"/>
        <v>0</v>
      </c>
      <c r="Y74" s="1034">
        <f t="shared" si="11"/>
        <v>0</v>
      </c>
      <c r="Z74" s="1035">
        <f t="shared" si="11"/>
        <v>0</v>
      </c>
      <c r="AA74" s="1035">
        <f t="shared" si="11"/>
        <v>0</v>
      </c>
      <c r="AB74" s="1035">
        <f t="shared" si="11"/>
        <v>0</v>
      </c>
      <c r="AC74" s="628">
        <f t="shared" si="11"/>
        <v>0</v>
      </c>
    </row>
    <row r="75" spans="1:53" ht="12.6" customHeight="1">
      <c r="A75" s="1023" t="s">
        <v>527</v>
      </c>
      <c r="B75" s="1024"/>
      <c r="C75" s="1026"/>
      <c r="D75" s="241"/>
      <c r="E75" s="1026">
        <f t="shared" ref="E75:T75" si="12">E71-E73</f>
        <v>14238</v>
      </c>
      <c r="F75" s="1026">
        <f t="shared" si="12"/>
        <v>9492</v>
      </c>
      <c r="G75" s="1026">
        <f t="shared" si="12"/>
        <v>4746</v>
      </c>
      <c r="H75" s="1026">
        <f t="shared" si="12"/>
        <v>0</v>
      </c>
      <c r="I75" s="1026">
        <f t="shared" si="12"/>
        <v>0</v>
      </c>
      <c r="J75" s="1026">
        <f t="shared" si="12"/>
        <v>0</v>
      </c>
      <c r="K75" s="1026">
        <f t="shared" si="12"/>
        <v>0</v>
      </c>
      <c r="L75" s="1026">
        <f t="shared" si="12"/>
        <v>0</v>
      </c>
      <c r="M75" s="1026">
        <f t="shared" si="12"/>
        <v>0</v>
      </c>
      <c r="N75" s="1026">
        <f t="shared" si="12"/>
        <v>0</v>
      </c>
      <c r="O75" s="1026">
        <f t="shared" si="12"/>
        <v>0</v>
      </c>
      <c r="P75" s="1026">
        <f t="shared" si="12"/>
        <v>0</v>
      </c>
      <c r="Q75" s="1026">
        <f t="shared" si="12"/>
        <v>0</v>
      </c>
      <c r="R75" s="1026">
        <f t="shared" si="12"/>
        <v>0</v>
      </c>
      <c r="S75" s="1026">
        <f t="shared" si="12"/>
        <v>0</v>
      </c>
      <c r="T75" s="1026">
        <f t="shared" si="12"/>
        <v>0</v>
      </c>
      <c r="U75" s="1026">
        <f t="shared" ref="U75:AC75" si="13">U71-U73</f>
        <v>0</v>
      </c>
      <c r="V75" s="1026">
        <f t="shared" si="13"/>
        <v>0</v>
      </c>
      <c r="W75" s="1026">
        <f t="shared" si="13"/>
        <v>0</v>
      </c>
      <c r="X75" s="1026">
        <f t="shared" si="13"/>
        <v>0</v>
      </c>
      <c r="Y75" s="1027">
        <f t="shared" si="13"/>
        <v>0</v>
      </c>
      <c r="Z75" s="1028">
        <f t="shared" si="13"/>
        <v>0</v>
      </c>
      <c r="AA75" s="1028">
        <f t="shared" si="13"/>
        <v>0</v>
      </c>
      <c r="AB75" s="1028">
        <f t="shared" si="13"/>
        <v>0</v>
      </c>
      <c r="AC75" s="626">
        <f t="shared" si="13"/>
        <v>0</v>
      </c>
    </row>
    <row r="76" spans="1:53" ht="12.6" customHeight="1">
      <c r="A76" s="1023" t="s">
        <v>528</v>
      </c>
      <c r="B76" s="1024"/>
      <c r="C76" s="1036">
        <f>SUMPRODUCT(E73:AC73,$E$69:$AC$69)/SUM(E73:AC73)</f>
        <v>2.5</v>
      </c>
      <c r="D76" s="646"/>
      <c r="E76" s="1037"/>
      <c r="F76" s="1026"/>
      <c r="G76" s="1026"/>
      <c r="H76" s="1026"/>
      <c r="I76" s="1026"/>
      <c r="J76" s="1026"/>
      <c r="K76" s="1026"/>
      <c r="L76" s="1026"/>
      <c r="M76" s="1026"/>
      <c r="N76" s="1026"/>
      <c r="O76" s="1026"/>
      <c r="P76" s="1026"/>
      <c r="Q76" s="1026"/>
      <c r="R76" s="1026"/>
      <c r="S76" s="1026"/>
      <c r="T76" s="1026"/>
      <c r="U76" s="1026"/>
      <c r="V76" s="1026"/>
      <c r="W76" s="1026"/>
      <c r="X76" s="1026"/>
      <c r="Y76" s="1027"/>
      <c r="Z76" s="1028"/>
      <c r="AA76" s="1028"/>
      <c r="AB76" s="1028"/>
      <c r="AC76" s="626"/>
    </row>
    <row r="77" spans="1:53" ht="12.6" customHeight="1">
      <c r="A77" s="683"/>
      <c r="B77" s="1038"/>
      <c r="C77" s="1039" t="s">
        <v>529</v>
      </c>
      <c r="D77" s="1040">
        <f>SUM(E77:AC77)</f>
        <v>1</v>
      </c>
      <c r="E77" s="1041">
        <v>0.25</v>
      </c>
      <c r="F77" s="1041">
        <v>0.25</v>
      </c>
      <c r="G77" s="1041">
        <v>0.25</v>
      </c>
      <c r="H77" s="1041">
        <v>0.25</v>
      </c>
      <c r="I77" s="1041">
        <v>0</v>
      </c>
      <c r="J77" s="1041">
        <v>0</v>
      </c>
      <c r="K77" s="1041">
        <v>0</v>
      </c>
      <c r="L77" s="1041">
        <v>0</v>
      </c>
      <c r="M77" s="1041">
        <v>0</v>
      </c>
      <c r="N77" s="1041">
        <v>0</v>
      </c>
      <c r="O77" s="1041">
        <v>0</v>
      </c>
      <c r="P77" s="1041">
        <v>0</v>
      </c>
      <c r="Q77" s="1041">
        <v>0</v>
      </c>
      <c r="R77" s="1041">
        <v>0</v>
      </c>
      <c r="S77" s="1041">
        <v>0</v>
      </c>
      <c r="T77" s="1041">
        <v>0</v>
      </c>
      <c r="U77" s="1041">
        <v>0</v>
      </c>
      <c r="V77" s="1041">
        <v>0</v>
      </c>
      <c r="W77" s="1041">
        <v>0</v>
      </c>
      <c r="X77" s="1041">
        <v>0</v>
      </c>
      <c r="Y77" s="1042">
        <v>0</v>
      </c>
      <c r="Z77" s="1043">
        <v>0</v>
      </c>
      <c r="AA77" s="1043">
        <v>0</v>
      </c>
      <c r="AB77" s="1043">
        <v>0</v>
      </c>
      <c r="AC77" s="629">
        <v>0</v>
      </c>
    </row>
    <row r="78" spans="1:53" s="121" customFormat="1">
      <c r="A78" s="16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row>
    <row r="79" spans="1:53" s="121" customFormat="1">
      <c r="A79" s="726" t="s">
        <v>530</v>
      </c>
      <c r="B79" s="630"/>
      <c r="C79" s="630"/>
      <c r="D79" s="630"/>
      <c r="E79" s="630"/>
      <c r="F79" s="630"/>
      <c r="G79" s="630"/>
      <c r="H79" s="630"/>
      <c r="I79" s="630"/>
      <c r="J79" s="630"/>
      <c r="K79" s="630"/>
      <c r="L79" s="630"/>
      <c r="M79" s="630"/>
      <c r="N79" s="630"/>
      <c r="O79" s="630"/>
      <c r="P79" s="630"/>
      <c r="Q79" s="630"/>
      <c r="R79" s="630"/>
      <c r="S79" s="630"/>
      <c r="T79" s="630"/>
      <c r="U79" s="630"/>
      <c r="V79" s="630"/>
      <c r="W79" s="630"/>
      <c r="X79" s="630"/>
      <c r="Y79" s="631"/>
      <c r="Z79" s="163"/>
      <c r="AA79" s="163"/>
      <c r="AB79" s="163"/>
      <c r="AC79"/>
    </row>
    <row r="80" spans="1:53" s="121" customFormat="1">
      <c r="A80" s="758" t="s">
        <v>520</v>
      </c>
      <c r="B80" s="1014">
        <f>Principal2</f>
        <v>34928</v>
      </c>
      <c r="C80" s="241"/>
      <c r="D80" s="241"/>
      <c r="E80" s="241"/>
      <c r="F80" s="241"/>
      <c r="G80" s="241"/>
      <c r="H80" s="241"/>
      <c r="I80" s="241"/>
      <c r="J80" s="241"/>
      <c r="K80" s="241"/>
      <c r="L80" s="241"/>
      <c r="M80" s="241"/>
      <c r="N80" s="241"/>
      <c r="O80" s="241"/>
      <c r="P80" s="241"/>
      <c r="Q80" s="241"/>
      <c r="R80" s="241"/>
      <c r="S80" s="241"/>
      <c r="T80" s="241"/>
      <c r="U80" s="241"/>
      <c r="V80" s="241"/>
      <c r="W80" s="241"/>
      <c r="X80" s="241"/>
      <c r="Y80" s="807"/>
      <c r="Z80" s="163"/>
      <c r="AA80" s="163"/>
      <c r="AB80" s="163"/>
      <c r="AC80"/>
    </row>
    <row r="81" spans="1:29" s="121" customFormat="1">
      <c r="A81" s="678" t="s">
        <v>202</v>
      </c>
      <c r="B81" s="1015">
        <f>_Int2</f>
        <v>7.5700000000000003E-2</v>
      </c>
      <c r="C81" s="241"/>
      <c r="D81" s="241"/>
      <c r="E81" s="241"/>
      <c r="F81" s="241"/>
      <c r="G81" s="241"/>
      <c r="H81" s="241"/>
      <c r="I81" s="241"/>
      <c r="J81" s="241"/>
      <c r="K81" s="241"/>
      <c r="L81" s="241"/>
      <c r="M81" s="241"/>
      <c r="N81" s="241"/>
      <c r="O81" s="241"/>
      <c r="P81" s="241"/>
      <c r="Q81" s="241"/>
      <c r="R81" s="241"/>
      <c r="S81" s="241"/>
      <c r="T81" s="241"/>
      <c r="U81" s="241"/>
      <c r="V81" s="241"/>
      <c r="W81" s="241"/>
      <c r="X81" s="241"/>
      <c r="Y81" s="807"/>
      <c r="Z81" s="163"/>
      <c r="AA81" s="163"/>
      <c r="AB81" s="163"/>
      <c r="AC81"/>
    </row>
    <row r="82" spans="1:29" s="121" customFormat="1">
      <c r="A82" s="678" t="s">
        <v>185</v>
      </c>
      <c r="B82" s="807">
        <f>Term2</f>
        <v>10</v>
      </c>
      <c r="C82" s="241"/>
      <c r="D82" s="241"/>
      <c r="E82" s="241"/>
      <c r="F82" s="241"/>
      <c r="G82" s="241"/>
      <c r="H82" s="241"/>
      <c r="I82" s="241"/>
      <c r="J82" s="241"/>
      <c r="K82" s="241"/>
      <c r="L82" s="241"/>
      <c r="M82" s="241"/>
      <c r="N82" s="241"/>
      <c r="O82" s="241"/>
      <c r="P82" s="241"/>
      <c r="Q82" s="241"/>
      <c r="R82" s="241"/>
      <c r="S82" s="241"/>
      <c r="T82" s="241"/>
      <c r="U82" s="241"/>
      <c r="V82" s="241"/>
      <c r="W82" s="241"/>
      <c r="X82" s="241"/>
      <c r="Y82" s="807"/>
      <c r="Z82" s="163"/>
      <c r="AA82" s="163"/>
      <c r="AB82" s="163"/>
      <c r="AC82"/>
    </row>
    <row r="83" spans="1:29" s="121" customFormat="1">
      <c r="A83" s="683" t="s">
        <v>521</v>
      </c>
      <c r="B83" s="633">
        <f>GRACE2</f>
        <v>4</v>
      </c>
      <c r="C83" s="241"/>
      <c r="D83" s="241"/>
      <c r="E83" s="241"/>
      <c r="F83" s="241"/>
      <c r="G83" s="241"/>
      <c r="H83" s="241"/>
      <c r="I83" s="241"/>
      <c r="J83" s="241"/>
      <c r="K83" s="241"/>
      <c r="L83" s="241"/>
      <c r="M83" s="241"/>
      <c r="N83" s="241"/>
      <c r="O83" s="241"/>
      <c r="P83" s="241"/>
      <c r="Q83" s="241"/>
      <c r="R83" s="241"/>
      <c r="S83" s="241"/>
      <c r="T83" s="241"/>
      <c r="U83" s="241"/>
      <c r="V83" s="241"/>
      <c r="W83" s="241"/>
      <c r="X83" s="241"/>
      <c r="Y83" s="807"/>
      <c r="Z83" s="163"/>
      <c r="AA83" s="163"/>
      <c r="AB83" s="163"/>
      <c r="AC83"/>
    </row>
    <row r="84" spans="1:29" s="121" customFormat="1">
      <c r="A84" s="678"/>
      <c r="B84" s="241"/>
      <c r="C84" s="1016" t="s">
        <v>522</v>
      </c>
      <c r="D84" s="241"/>
      <c r="E84" s="1017">
        <f>E4</f>
        <v>1</v>
      </c>
      <c r="F84" s="1017">
        <f t="shared" ref="F84:AC84" si="14">F4</f>
        <v>2</v>
      </c>
      <c r="G84" s="1017">
        <f t="shared" si="14"/>
        <v>3</v>
      </c>
      <c r="H84" s="1017">
        <f t="shared" si="14"/>
        <v>4</v>
      </c>
      <c r="I84" s="1017">
        <f t="shared" si="14"/>
        <v>5</v>
      </c>
      <c r="J84" s="1017">
        <f t="shared" si="14"/>
        <v>6</v>
      </c>
      <c r="K84" s="1017">
        <f t="shared" si="14"/>
        <v>7</v>
      </c>
      <c r="L84" s="1017">
        <f t="shared" si="14"/>
        <v>8</v>
      </c>
      <c r="M84" s="1017">
        <f t="shared" si="14"/>
        <v>9</v>
      </c>
      <c r="N84" s="1017">
        <f t="shared" si="14"/>
        <v>10</v>
      </c>
      <c r="O84" s="1017">
        <f t="shared" si="14"/>
        <v>11</v>
      </c>
      <c r="P84" s="1017">
        <f t="shared" si="14"/>
        <v>12</v>
      </c>
      <c r="Q84" s="1017">
        <f t="shared" si="14"/>
        <v>13</v>
      </c>
      <c r="R84" s="1017">
        <f t="shared" si="14"/>
        <v>14</v>
      </c>
      <c r="S84" s="1017">
        <f t="shared" si="14"/>
        <v>15</v>
      </c>
      <c r="T84" s="1017">
        <f t="shared" si="14"/>
        <v>16</v>
      </c>
      <c r="U84" s="1017">
        <f t="shared" si="14"/>
        <v>17</v>
      </c>
      <c r="V84" s="1017">
        <f t="shared" si="14"/>
        <v>18</v>
      </c>
      <c r="W84" s="1017">
        <f t="shared" si="14"/>
        <v>19</v>
      </c>
      <c r="X84" s="1017">
        <f t="shared" si="14"/>
        <v>20</v>
      </c>
      <c r="Y84" s="1018">
        <f t="shared" si="14"/>
        <v>21</v>
      </c>
      <c r="Z84" s="1019">
        <f t="shared" si="14"/>
        <v>0</v>
      </c>
      <c r="AA84" s="1019">
        <f t="shared" si="14"/>
        <v>0</v>
      </c>
      <c r="AB84" s="1019">
        <f t="shared" si="14"/>
        <v>0</v>
      </c>
      <c r="AC84" s="625">
        <f t="shared" si="14"/>
        <v>0</v>
      </c>
    </row>
    <row r="85" spans="1:29" ht="12.6" customHeight="1">
      <c r="A85" s="1020"/>
      <c r="B85" s="1021"/>
      <c r="C85" s="1021"/>
      <c r="D85" s="1021"/>
      <c r="E85" s="1022"/>
      <c r="F85" s="1022"/>
      <c r="G85" s="1022"/>
      <c r="H85" s="1022"/>
      <c r="I85" s="1022"/>
      <c r="J85" s="1022"/>
      <c r="K85" s="1022"/>
      <c r="L85" s="1022"/>
      <c r="M85" s="1022"/>
      <c r="N85" s="1022"/>
      <c r="O85" s="1022"/>
      <c r="P85" s="1022"/>
      <c r="Q85" s="1022"/>
      <c r="R85" s="1022"/>
      <c r="S85" s="1022"/>
      <c r="T85" s="241"/>
      <c r="U85" s="241"/>
      <c r="V85" s="241"/>
      <c r="W85" s="241"/>
      <c r="X85" s="241"/>
      <c r="Y85" s="807"/>
    </row>
    <row r="86" spans="1:29" ht="12.6" customHeight="1">
      <c r="A86" s="1023" t="s">
        <v>523</v>
      </c>
      <c r="B86" s="1024"/>
      <c r="C86" s="1025">
        <f>B80</f>
        <v>34928</v>
      </c>
      <c r="D86" s="241"/>
      <c r="E86" s="1026">
        <f>C86</f>
        <v>34928</v>
      </c>
      <c r="F86" s="1026">
        <f t="shared" ref="F86:AC86" si="15">E90</f>
        <v>34928</v>
      </c>
      <c r="G86" s="1026">
        <f t="shared" si="15"/>
        <v>34928</v>
      </c>
      <c r="H86" s="1026">
        <f t="shared" si="15"/>
        <v>33181.599999999999</v>
      </c>
      <c r="I86" s="1026">
        <f t="shared" si="15"/>
        <v>29688.799999999999</v>
      </c>
      <c r="J86" s="1026">
        <f t="shared" si="15"/>
        <v>26196</v>
      </c>
      <c r="K86" s="1026">
        <f t="shared" si="15"/>
        <v>22703.200000000001</v>
      </c>
      <c r="L86" s="1026">
        <f t="shared" si="15"/>
        <v>19210.400000000001</v>
      </c>
      <c r="M86" s="1026">
        <f t="shared" si="15"/>
        <v>15717.600000000002</v>
      </c>
      <c r="N86" s="1026">
        <f t="shared" si="15"/>
        <v>8732.0000000000018</v>
      </c>
      <c r="O86" s="1026">
        <f t="shared" si="15"/>
        <v>0</v>
      </c>
      <c r="P86" s="1026">
        <f t="shared" si="15"/>
        <v>0</v>
      </c>
      <c r="Q86" s="1026">
        <f t="shared" si="15"/>
        <v>0</v>
      </c>
      <c r="R86" s="1026">
        <f t="shared" si="15"/>
        <v>0</v>
      </c>
      <c r="S86" s="1026">
        <f t="shared" si="15"/>
        <v>0</v>
      </c>
      <c r="T86" s="1026">
        <f t="shared" si="15"/>
        <v>0</v>
      </c>
      <c r="U86" s="1026">
        <f t="shared" si="15"/>
        <v>0</v>
      </c>
      <c r="V86" s="1026">
        <f t="shared" si="15"/>
        <v>0</v>
      </c>
      <c r="W86" s="1026">
        <f t="shared" si="15"/>
        <v>0</v>
      </c>
      <c r="X86" s="1026">
        <f t="shared" si="15"/>
        <v>0</v>
      </c>
      <c r="Y86" s="1027">
        <f t="shared" si="15"/>
        <v>0</v>
      </c>
      <c r="Z86" s="1028">
        <f t="shared" si="15"/>
        <v>0</v>
      </c>
      <c r="AA86" s="1028">
        <f t="shared" si="15"/>
        <v>0</v>
      </c>
      <c r="AB86" s="1028">
        <f t="shared" si="15"/>
        <v>0</v>
      </c>
      <c r="AC86" s="626">
        <f t="shared" si="15"/>
        <v>0</v>
      </c>
    </row>
    <row r="87" spans="1:29" ht="12.6" customHeight="1">
      <c r="A87" s="1023" t="s">
        <v>524</v>
      </c>
      <c r="B87" s="1029"/>
      <c r="C87" s="1026"/>
      <c r="D87" s="241"/>
      <c r="E87" s="1026">
        <f>E86*$B$81</f>
        <v>2644.0496000000003</v>
      </c>
      <c r="F87" s="1026">
        <f t="shared" ref="F87:AC87" si="16">F86*$B$81</f>
        <v>2644.0496000000003</v>
      </c>
      <c r="G87" s="1026">
        <f t="shared" si="16"/>
        <v>2644.0496000000003</v>
      </c>
      <c r="H87" s="1026">
        <f t="shared" si="16"/>
        <v>2511.8471199999999</v>
      </c>
      <c r="I87" s="1026">
        <f t="shared" si="16"/>
        <v>2247.4421600000001</v>
      </c>
      <c r="J87" s="1026">
        <f t="shared" si="16"/>
        <v>1983.0372</v>
      </c>
      <c r="K87" s="1026">
        <f t="shared" si="16"/>
        <v>1718.6322400000001</v>
      </c>
      <c r="L87" s="1026">
        <f t="shared" si="16"/>
        <v>1454.2272800000001</v>
      </c>
      <c r="M87" s="1026">
        <f t="shared" si="16"/>
        <v>1189.8223200000002</v>
      </c>
      <c r="N87" s="1026">
        <f t="shared" si="16"/>
        <v>661.01240000000018</v>
      </c>
      <c r="O87" s="1026">
        <f t="shared" si="16"/>
        <v>0</v>
      </c>
      <c r="P87" s="1026">
        <f t="shared" si="16"/>
        <v>0</v>
      </c>
      <c r="Q87" s="1026">
        <f t="shared" si="16"/>
        <v>0</v>
      </c>
      <c r="R87" s="1026">
        <f t="shared" si="16"/>
        <v>0</v>
      </c>
      <c r="S87" s="1026">
        <f t="shared" si="16"/>
        <v>0</v>
      </c>
      <c r="T87" s="1026">
        <f t="shared" si="16"/>
        <v>0</v>
      </c>
      <c r="U87" s="1026">
        <f t="shared" si="16"/>
        <v>0</v>
      </c>
      <c r="V87" s="1026">
        <f t="shared" si="16"/>
        <v>0</v>
      </c>
      <c r="W87" s="1026">
        <f t="shared" si="16"/>
        <v>0</v>
      </c>
      <c r="X87" s="1026">
        <f t="shared" si="16"/>
        <v>0</v>
      </c>
      <c r="Y87" s="1026">
        <f t="shared" si="16"/>
        <v>0</v>
      </c>
      <c r="Z87" s="1026">
        <f t="shared" si="16"/>
        <v>0</v>
      </c>
      <c r="AA87" s="1026">
        <f t="shared" si="16"/>
        <v>0</v>
      </c>
      <c r="AB87" s="1026">
        <f t="shared" si="16"/>
        <v>0</v>
      </c>
      <c r="AC87" s="722">
        <f t="shared" si="16"/>
        <v>0</v>
      </c>
    </row>
    <row r="88" spans="1:29" ht="12.6" customHeight="1">
      <c r="A88" s="1023" t="s">
        <v>525</v>
      </c>
      <c r="B88" s="1024"/>
      <c r="C88" s="1026"/>
      <c r="D88" s="241"/>
      <c r="E88" s="1030">
        <f>$C$86*E92</f>
        <v>0</v>
      </c>
      <c r="F88" s="1030">
        <f t="shared" ref="F88:AC88" si="17">$C$86*F92</f>
        <v>0</v>
      </c>
      <c r="G88" s="1030">
        <f t="shared" si="17"/>
        <v>1746.4</v>
      </c>
      <c r="H88" s="1030">
        <f t="shared" si="17"/>
        <v>3492.8</v>
      </c>
      <c r="I88" s="1030">
        <f t="shared" si="17"/>
        <v>3492.8</v>
      </c>
      <c r="J88" s="1030">
        <f t="shared" si="17"/>
        <v>3492.8</v>
      </c>
      <c r="K88" s="1030">
        <f t="shared" si="17"/>
        <v>3492.8</v>
      </c>
      <c r="L88" s="1030">
        <f t="shared" si="17"/>
        <v>3492.8</v>
      </c>
      <c r="M88" s="1030">
        <f t="shared" si="17"/>
        <v>6985.6</v>
      </c>
      <c r="N88" s="1030">
        <f t="shared" si="17"/>
        <v>8732</v>
      </c>
      <c r="O88" s="1030">
        <f t="shared" si="17"/>
        <v>0</v>
      </c>
      <c r="P88" s="1030">
        <f t="shared" si="17"/>
        <v>0</v>
      </c>
      <c r="Q88" s="1030">
        <f t="shared" si="17"/>
        <v>0</v>
      </c>
      <c r="R88" s="1030">
        <f t="shared" si="17"/>
        <v>0</v>
      </c>
      <c r="S88" s="1030">
        <f t="shared" si="17"/>
        <v>0</v>
      </c>
      <c r="T88" s="1030">
        <f t="shared" si="17"/>
        <v>0</v>
      </c>
      <c r="U88" s="1030">
        <f t="shared" si="17"/>
        <v>0</v>
      </c>
      <c r="V88" s="1030">
        <f t="shared" si="17"/>
        <v>0</v>
      </c>
      <c r="W88" s="1030">
        <f t="shared" si="17"/>
        <v>0</v>
      </c>
      <c r="X88" s="1030">
        <f t="shared" si="17"/>
        <v>0</v>
      </c>
      <c r="Y88" s="1030">
        <f t="shared" si="17"/>
        <v>0</v>
      </c>
      <c r="Z88" s="1030">
        <f t="shared" si="17"/>
        <v>0</v>
      </c>
      <c r="AA88" s="1030">
        <f t="shared" si="17"/>
        <v>0</v>
      </c>
      <c r="AB88" s="1030">
        <f t="shared" si="17"/>
        <v>0</v>
      </c>
      <c r="AC88" s="723">
        <f t="shared" si="17"/>
        <v>0</v>
      </c>
    </row>
    <row r="89" spans="1:29" ht="12.6" customHeight="1">
      <c r="A89" s="1023" t="s">
        <v>526</v>
      </c>
      <c r="B89" s="1024"/>
      <c r="C89" s="1033"/>
      <c r="D89" s="241"/>
      <c r="E89" s="1033">
        <f>E88+E87</f>
        <v>2644.0496000000003</v>
      </c>
      <c r="F89" s="1033">
        <f t="shared" ref="F89:AC89" si="18">F88+F87</f>
        <v>2644.0496000000003</v>
      </c>
      <c r="G89" s="1033">
        <f t="shared" si="18"/>
        <v>4390.4495999999999</v>
      </c>
      <c r="H89" s="1033">
        <f t="shared" si="18"/>
        <v>6004.6471199999996</v>
      </c>
      <c r="I89" s="1033">
        <f t="shared" si="18"/>
        <v>5740.2421599999998</v>
      </c>
      <c r="J89" s="1033">
        <f t="shared" si="18"/>
        <v>5475.8371999999999</v>
      </c>
      <c r="K89" s="1033">
        <f t="shared" si="18"/>
        <v>5211.4322400000001</v>
      </c>
      <c r="L89" s="1033">
        <f t="shared" si="18"/>
        <v>4947.0272800000002</v>
      </c>
      <c r="M89" s="1033">
        <f t="shared" si="18"/>
        <v>8175.4223200000006</v>
      </c>
      <c r="N89" s="1033">
        <f t="shared" si="18"/>
        <v>9393.0123999999996</v>
      </c>
      <c r="O89" s="1033">
        <f t="shared" si="18"/>
        <v>0</v>
      </c>
      <c r="P89" s="1033">
        <f t="shared" si="18"/>
        <v>0</v>
      </c>
      <c r="Q89" s="1033">
        <f t="shared" si="18"/>
        <v>0</v>
      </c>
      <c r="R89" s="1033">
        <f t="shared" si="18"/>
        <v>0</v>
      </c>
      <c r="S89" s="1033">
        <f t="shared" si="18"/>
        <v>0</v>
      </c>
      <c r="T89" s="1033">
        <f t="shared" si="18"/>
        <v>0</v>
      </c>
      <c r="U89" s="1033">
        <f t="shared" si="18"/>
        <v>0</v>
      </c>
      <c r="V89" s="1033">
        <f t="shared" si="18"/>
        <v>0</v>
      </c>
      <c r="W89" s="1033">
        <f t="shared" si="18"/>
        <v>0</v>
      </c>
      <c r="X89" s="1033">
        <f t="shared" si="18"/>
        <v>0</v>
      </c>
      <c r="Y89" s="1034">
        <f t="shared" si="18"/>
        <v>0</v>
      </c>
      <c r="Z89" s="1035">
        <f t="shared" si="18"/>
        <v>0</v>
      </c>
      <c r="AA89" s="1035">
        <f t="shared" si="18"/>
        <v>0</v>
      </c>
      <c r="AB89" s="1035">
        <f t="shared" si="18"/>
        <v>0</v>
      </c>
      <c r="AC89" s="628">
        <f t="shared" si="18"/>
        <v>0</v>
      </c>
    </row>
    <row r="90" spans="1:29" ht="12.6" customHeight="1">
      <c r="A90" s="1023" t="s">
        <v>527</v>
      </c>
      <c r="B90" s="1024"/>
      <c r="C90" s="1026"/>
      <c r="D90" s="241"/>
      <c r="E90" s="1026">
        <f t="shared" ref="E90:AC90" si="19">E86-E88</f>
        <v>34928</v>
      </c>
      <c r="F90" s="1026">
        <f t="shared" si="19"/>
        <v>34928</v>
      </c>
      <c r="G90" s="1026">
        <f t="shared" si="19"/>
        <v>33181.599999999999</v>
      </c>
      <c r="H90" s="1026">
        <f t="shared" si="19"/>
        <v>29688.799999999999</v>
      </c>
      <c r="I90" s="1026">
        <f t="shared" si="19"/>
        <v>26196</v>
      </c>
      <c r="J90" s="1026">
        <f t="shared" si="19"/>
        <v>22703.200000000001</v>
      </c>
      <c r="K90" s="1026">
        <f t="shared" si="19"/>
        <v>19210.400000000001</v>
      </c>
      <c r="L90" s="1026">
        <f t="shared" si="19"/>
        <v>15717.600000000002</v>
      </c>
      <c r="M90" s="1026">
        <f t="shared" si="19"/>
        <v>8732.0000000000018</v>
      </c>
      <c r="N90" s="1026">
        <f t="shared" si="19"/>
        <v>0</v>
      </c>
      <c r="O90" s="1026">
        <f t="shared" si="19"/>
        <v>0</v>
      </c>
      <c r="P90" s="1026">
        <f t="shared" si="19"/>
        <v>0</v>
      </c>
      <c r="Q90" s="1026">
        <f t="shared" si="19"/>
        <v>0</v>
      </c>
      <c r="R90" s="1026">
        <f t="shared" si="19"/>
        <v>0</v>
      </c>
      <c r="S90" s="1026">
        <f t="shared" si="19"/>
        <v>0</v>
      </c>
      <c r="T90" s="1026">
        <f t="shared" si="19"/>
        <v>0</v>
      </c>
      <c r="U90" s="1026">
        <f t="shared" si="19"/>
        <v>0</v>
      </c>
      <c r="V90" s="1026">
        <f t="shared" si="19"/>
        <v>0</v>
      </c>
      <c r="W90" s="1026">
        <f t="shared" si="19"/>
        <v>0</v>
      </c>
      <c r="X90" s="1026">
        <f t="shared" si="19"/>
        <v>0</v>
      </c>
      <c r="Y90" s="1027">
        <f t="shared" si="19"/>
        <v>0</v>
      </c>
      <c r="Z90" s="1028">
        <f t="shared" si="19"/>
        <v>0</v>
      </c>
      <c r="AA90" s="1028">
        <f t="shared" si="19"/>
        <v>0</v>
      </c>
      <c r="AB90" s="1028">
        <f t="shared" si="19"/>
        <v>0</v>
      </c>
      <c r="AC90" s="626">
        <f t="shared" si="19"/>
        <v>0</v>
      </c>
    </row>
    <row r="91" spans="1:29" ht="12.6" customHeight="1">
      <c r="A91" s="1023" t="s">
        <v>528</v>
      </c>
      <c r="B91" s="1024"/>
      <c r="C91" s="1044">
        <f>SUMPRODUCT(E84:AC84,$E$88:$AC$88)/SUM(E88:AC88)</f>
        <v>7.45</v>
      </c>
      <c r="D91" s="241"/>
      <c r="E91" s="1037"/>
      <c r="F91" s="1026"/>
      <c r="G91" s="1026"/>
      <c r="H91" s="1026"/>
      <c r="I91" s="1026"/>
      <c r="J91" s="1026"/>
      <c r="K91" s="1026"/>
      <c r="L91" s="1026"/>
      <c r="M91" s="1026"/>
      <c r="N91" s="1026"/>
      <c r="O91" s="1026"/>
      <c r="P91" s="1026"/>
      <c r="Q91" s="1026"/>
      <c r="R91" s="1026"/>
      <c r="S91" s="1026"/>
      <c r="T91" s="1026"/>
      <c r="U91" s="1026"/>
      <c r="V91" s="1026"/>
      <c r="W91" s="1026"/>
      <c r="X91" s="1026"/>
      <c r="Y91" s="1027"/>
      <c r="Z91" s="1028"/>
      <c r="AA91" s="1028"/>
      <c r="AB91" s="1028"/>
      <c r="AC91" s="626"/>
    </row>
    <row r="92" spans="1:29" ht="12.6" customHeight="1">
      <c r="A92" s="683"/>
      <c r="B92" s="1038"/>
      <c r="C92" s="1039" t="s">
        <v>529</v>
      </c>
      <c r="D92" s="1040">
        <f>SUM(E92:AC92)</f>
        <v>1</v>
      </c>
      <c r="E92" s="1043">
        <v>0</v>
      </c>
      <c r="F92" s="1043">
        <v>0</v>
      </c>
      <c r="G92" s="1043">
        <v>0.05</v>
      </c>
      <c r="H92" s="1043">
        <v>0.1</v>
      </c>
      <c r="I92" s="1043">
        <v>0.1</v>
      </c>
      <c r="J92" s="1043">
        <v>0.1</v>
      </c>
      <c r="K92" s="1043">
        <v>0.1</v>
      </c>
      <c r="L92" s="1043">
        <v>0.1</v>
      </c>
      <c r="M92" s="1043">
        <v>0.2</v>
      </c>
      <c r="N92" s="1043">
        <v>0.25</v>
      </c>
      <c r="O92" s="1043">
        <v>0</v>
      </c>
      <c r="P92" s="1043">
        <v>0</v>
      </c>
      <c r="Q92" s="1043">
        <v>0</v>
      </c>
      <c r="R92" s="1043">
        <v>0</v>
      </c>
      <c r="S92" s="1043">
        <v>0</v>
      </c>
      <c r="T92" s="1043">
        <v>0</v>
      </c>
      <c r="U92" s="1043">
        <v>0</v>
      </c>
      <c r="V92" s="1043">
        <v>0</v>
      </c>
      <c r="W92" s="1043">
        <v>0</v>
      </c>
      <c r="X92" s="1043">
        <v>0</v>
      </c>
      <c r="Y92" s="1043">
        <v>0</v>
      </c>
      <c r="Z92" s="1043">
        <v>0</v>
      </c>
      <c r="AA92" s="1043">
        <v>0</v>
      </c>
      <c r="AB92" s="1043">
        <v>0</v>
      </c>
      <c r="AC92" s="1043">
        <v>0</v>
      </c>
    </row>
    <row r="93" spans="1:29" s="1" customFormat="1" ht="12.6"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c r="AB93" s="163"/>
      <c r="AC93"/>
    </row>
    <row r="94" spans="1:29" s="1" customFormat="1" ht="12.6" customHeight="1">
      <c r="A94" s="726" t="s">
        <v>531</v>
      </c>
      <c r="B94" s="630"/>
      <c r="C94" s="630"/>
      <c r="D94" s="630"/>
      <c r="E94" s="630"/>
      <c r="F94" s="630"/>
      <c r="G94" s="630"/>
      <c r="H94" s="630"/>
      <c r="I94" s="630"/>
      <c r="J94" s="630"/>
      <c r="K94" s="630"/>
      <c r="L94" s="630"/>
      <c r="M94" s="630"/>
      <c r="N94" s="630"/>
      <c r="O94" s="630"/>
      <c r="P94" s="630"/>
      <c r="Q94" s="630"/>
      <c r="R94" s="630"/>
      <c r="S94" s="630"/>
      <c r="T94" s="630"/>
      <c r="U94" s="630"/>
      <c r="V94" s="630"/>
      <c r="W94" s="630"/>
      <c r="X94" s="630"/>
      <c r="Y94" s="631"/>
      <c r="Z94" s="163"/>
      <c r="AA94" s="163"/>
      <c r="AB94" s="163"/>
      <c r="AC94"/>
    </row>
    <row r="95" spans="1:29" ht="13.5" customHeight="1">
      <c r="A95" s="758" t="s">
        <v>520</v>
      </c>
      <c r="B95" s="1014">
        <f>Principal3</f>
        <v>63775</v>
      </c>
      <c r="C95" s="241"/>
      <c r="D95" s="241"/>
      <c r="E95" s="241"/>
      <c r="F95" s="241"/>
      <c r="G95" s="241"/>
      <c r="H95" s="241"/>
      <c r="I95" s="241"/>
      <c r="J95" s="241"/>
      <c r="K95" s="241"/>
      <c r="L95" s="241"/>
      <c r="M95" s="241"/>
      <c r="N95" s="241"/>
      <c r="O95" s="241"/>
      <c r="P95" s="241"/>
      <c r="Q95" s="241"/>
      <c r="R95" s="241"/>
      <c r="S95" s="241"/>
      <c r="T95" s="241"/>
      <c r="U95" s="241"/>
      <c r="V95" s="241"/>
      <c r="W95" s="241"/>
      <c r="X95" s="241"/>
      <c r="Y95" s="807"/>
    </row>
    <row r="96" spans="1:29">
      <c r="A96" s="678" t="s">
        <v>202</v>
      </c>
      <c r="B96" s="1015">
        <f>_Int3</f>
        <v>8.1799999999999998E-2</v>
      </c>
      <c r="C96" s="241"/>
      <c r="D96" s="241"/>
      <c r="E96" s="241"/>
      <c r="F96" s="241"/>
      <c r="G96" s="241"/>
      <c r="H96" s="241"/>
      <c r="I96" s="241"/>
      <c r="J96" s="241"/>
      <c r="K96" s="241"/>
      <c r="L96" s="241"/>
      <c r="M96" s="241"/>
      <c r="N96" s="241"/>
      <c r="O96" s="241"/>
      <c r="P96" s="241"/>
      <c r="Q96" s="241"/>
      <c r="R96" s="241"/>
      <c r="S96" s="241"/>
      <c r="T96" s="241"/>
      <c r="U96" s="241"/>
      <c r="V96" s="241"/>
      <c r="W96" s="241"/>
      <c r="X96" s="241"/>
      <c r="Y96" s="807"/>
    </row>
    <row r="97" spans="1:31">
      <c r="A97" s="678" t="s">
        <v>185</v>
      </c>
      <c r="B97" s="807">
        <f>Term3</f>
        <v>20</v>
      </c>
      <c r="C97" s="241"/>
      <c r="D97" s="241"/>
      <c r="E97" s="241"/>
      <c r="F97" s="241"/>
      <c r="G97" s="241"/>
      <c r="H97" s="241"/>
      <c r="I97" s="241"/>
      <c r="J97" s="241"/>
      <c r="K97" s="241"/>
      <c r="L97" s="241"/>
      <c r="M97" s="241"/>
      <c r="N97" s="241"/>
      <c r="O97" s="241"/>
      <c r="P97" s="241"/>
      <c r="Q97" s="241"/>
      <c r="R97" s="241"/>
      <c r="S97" s="241"/>
      <c r="T97" s="241"/>
      <c r="U97" s="241"/>
      <c r="V97" s="241"/>
      <c r="W97" s="241"/>
      <c r="X97" s="241"/>
      <c r="Y97" s="807"/>
    </row>
    <row r="98" spans="1:31">
      <c r="A98" s="683" t="s">
        <v>521</v>
      </c>
      <c r="B98" s="633">
        <f>Grace3</f>
        <v>0</v>
      </c>
      <c r="C98" s="241"/>
      <c r="D98" s="241"/>
      <c r="E98" s="241"/>
      <c r="F98" s="241"/>
      <c r="G98" s="241"/>
      <c r="H98" s="241"/>
      <c r="I98" s="241"/>
      <c r="J98" s="241"/>
      <c r="K98" s="241"/>
      <c r="L98" s="241"/>
      <c r="M98" s="241"/>
      <c r="N98" s="241"/>
      <c r="O98" s="241"/>
      <c r="P98" s="241"/>
      <c r="Q98" s="241"/>
      <c r="R98" s="241"/>
      <c r="S98" s="241"/>
      <c r="T98" s="241"/>
      <c r="U98" s="241"/>
      <c r="V98" s="241"/>
      <c r="W98" s="241"/>
      <c r="X98" s="241"/>
      <c r="Y98" s="807"/>
    </row>
    <row r="99" spans="1:31">
      <c r="A99" s="678"/>
      <c r="B99" s="241"/>
      <c r="C99" s="1016" t="s">
        <v>522</v>
      </c>
      <c r="D99" s="241"/>
      <c r="E99" s="1017">
        <f>E4</f>
        <v>1</v>
      </c>
      <c r="F99" s="1017">
        <f t="shared" ref="F99:AC99" si="20">F4</f>
        <v>2</v>
      </c>
      <c r="G99" s="1017">
        <f t="shared" si="20"/>
        <v>3</v>
      </c>
      <c r="H99" s="1017">
        <f t="shared" si="20"/>
        <v>4</v>
      </c>
      <c r="I99" s="1017">
        <f t="shared" si="20"/>
        <v>5</v>
      </c>
      <c r="J99" s="1017">
        <f t="shared" si="20"/>
        <v>6</v>
      </c>
      <c r="K99" s="1017">
        <f t="shared" si="20"/>
        <v>7</v>
      </c>
      <c r="L99" s="1017">
        <f t="shared" si="20"/>
        <v>8</v>
      </c>
      <c r="M99" s="1017">
        <f t="shared" si="20"/>
        <v>9</v>
      </c>
      <c r="N99" s="1017">
        <f t="shared" si="20"/>
        <v>10</v>
      </c>
      <c r="O99" s="1017">
        <f t="shared" si="20"/>
        <v>11</v>
      </c>
      <c r="P99" s="1017">
        <f t="shared" si="20"/>
        <v>12</v>
      </c>
      <c r="Q99" s="1017">
        <f t="shared" si="20"/>
        <v>13</v>
      </c>
      <c r="R99" s="1017">
        <f t="shared" si="20"/>
        <v>14</v>
      </c>
      <c r="S99" s="1017">
        <f t="shared" si="20"/>
        <v>15</v>
      </c>
      <c r="T99" s="1017">
        <f t="shared" si="20"/>
        <v>16</v>
      </c>
      <c r="U99" s="1017">
        <f t="shared" si="20"/>
        <v>17</v>
      </c>
      <c r="V99" s="1017">
        <f t="shared" si="20"/>
        <v>18</v>
      </c>
      <c r="W99" s="1017">
        <f t="shared" si="20"/>
        <v>19</v>
      </c>
      <c r="X99" s="1017">
        <f t="shared" si="20"/>
        <v>20</v>
      </c>
      <c r="Y99" s="1018">
        <f t="shared" si="20"/>
        <v>21</v>
      </c>
      <c r="Z99" s="1019">
        <f t="shared" si="20"/>
        <v>0</v>
      </c>
      <c r="AA99" s="1019">
        <f t="shared" si="20"/>
        <v>0</v>
      </c>
      <c r="AB99" s="1019">
        <f t="shared" si="20"/>
        <v>0</v>
      </c>
      <c r="AC99" s="625">
        <f t="shared" si="20"/>
        <v>0</v>
      </c>
    </row>
    <row r="100" spans="1:31">
      <c r="A100" s="1020" t="s">
        <v>108</v>
      </c>
      <c r="B100" s="1021"/>
      <c r="C100" s="1021"/>
      <c r="D100" s="241"/>
      <c r="E100" s="1021"/>
      <c r="F100" s="1022"/>
      <c r="G100" s="1022"/>
      <c r="H100" s="1022"/>
      <c r="I100" s="1022"/>
      <c r="J100" s="1022"/>
      <c r="K100" s="1022"/>
      <c r="L100" s="1022"/>
      <c r="M100" s="1022"/>
      <c r="N100" s="1022"/>
      <c r="O100" s="1022"/>
      <c r="P100" s="1022"/>
      <c r="Q100" s="1022"/>
      <c r="R100" s="1022"/>
      <c r="S100" s="1022"/>
      <c r="T100" s="1022"/>
      <c r="U100" s="241"/>
      <c r="V100" s="241"/>
      <c r="W100" s="241"/>
      <c r="X100" s="241"/>
      <c r="Y100" s="807"/>
    </row>
    <row r="101" spans="1:31">
      <c r="A101" s="1023" t="s">
        <v>523</v>
      </c>
      <c r="B101" s="1024"/>
      <c r="C101" s="1025">
        <f>B95</f>
        <v>63775</v>
      </c>
      <c r="D101" s="646"/>
      <c r="E101" s="1026">
        <f>C101</f>
        <v>63775</v>
      </c>
      <c r="F101" s="1026">
        <f t="shared" ref="F101:AC101" si="21">E105</f>
        <v>63775</v>
      </c>
      <c r="G101" s="1026">
        <f t="shared" si="21"/>
        <v>63775</v>
      </c>
      <c r="H101" s="1026">
        <f t="shared" si="21"/>
        <v>63775</v>
      </c>
      <c r="I101" s="1026">
        <f t="shared" si="21"/>
        <v>63775</v>
      </c>
      <c r="J101" s="1026">
        <f t="shared" si="21"/>
        <v>62499.5</v>
      </c>
      <c r="K101" s="1026">
        <f t="shared" si="21"/>
        <v>61224</v>
      </c>
      <c r="L101" s="1026">
        <f t="shared" si="21"/>
        <v>59310.75</v>
      </c>
      <c r="M101" s="1026">
        <f t="shared" si="21"/>
        <v>57397.5</v>
      </c>
      <c r="N101" s="1026">
        <f t="shared" si="21"/>
        <v>55484.25</v>
      </c>
      <c r="O101" s="1026">
        <f t="shared" si="21"/>
        <v>52933.25</v>
      </c>
      <c r="P101" s="1026">
        <f t="shared" si="21"/>
        <v>50382.25</v>
      </c>
      <c r="Q101" s="1026">
        <f t="shared" si="21"/>
        <v>47193.5</v>
      </c>
      <c r="R101" s="1026">
        <f t="shared" si="21"/>
        <v>44004.75</v>
      </c>
      <c r="S101" s="1026">
        <f t="shared" si="21"/>
        <v>40816</v>
      </c>
      <c r="T101" s="1026">
        <f t="shared" si="21"/>
        <v>37627.25</v>
      </c>
      <c r="U101" s="1026">
        <f t="shared" si="21"/>
        <v>34438.5</v>
      </c>
      <c r="V101" s="1026">
        <f t="shared" si="21"/>
        <v>28061</v>
      </c>
      <c r="W101" s="1026">
        <f t="shared" si="21"/>
        <v>20408</v>
      </c>
      <c r="X101" s="1026">
        <f t="shared" si="21"/>
        <v>10841.75</v>
      </c>
      <c r="Y101" s="1027">
        <f t="shared" si="21"/>
        <v>0</v>
      </c>
      <c r="Z101" s="1028">
        <f t="shared" si="21"/>
        <v>0</v>
      </c>
      <c r="AA101" s="1028">
        <f t="shared" si="21"/>
        <v>0</v>
      </c>
      <c r="AB101" s="1028">
        <f t="shared" si="21"/>
        <v>0</v>
      </c>
      <c r="AC101" s="626">
        <f t="shared" si="21"/>
        <v>0</v>
      </c>
    </row>
    <row r="102" spans="1:31">
      <c r="A102" s="1023" t="s">
        <v>524</v>
      </c>
      <c r="B102" s="1029"/>
      <c r="C102" s="1026"/>
      <c r="D102" s="646"/>
      <c r="E102" s="1026">
        <f>E101*$B$96</f>
        <v>5216.7950000000001</v>
      </c>
      <c r="F102" s="1026">
        <f t="shared" ref="F102:AC102" si="22">F101*$B$96</f>
        <v>5216.7950000000001</v>
      </c>
      <c r="G102" s="1026">
        <f t="shared" si="22"/>
        <v>5216.7950000000001</v>
      </c>
      <c r="H102" s="1026">
        <f t="shared" si="22"/>
        <v>5216.7950000000001</v>
      </c>
      <c r="I102" s="1026">
        <f t="shared" si="22"/>
        <v>5216.7950000000001</v>
      </c>
      <c r="J102" s="1026">
        <f t="shared" si="22"/>
        <v>5112.4591</v>
      </c>
      <c r="K102" s="1026">
        <f t="shared" si="22"/>
        <v>5008.1232</v>
      </c>
      <c r="L102" s="1026">
        <f t="shared" si="22"/>
        <v>4851.6193499999999</v>
      </c>
      <c r="M102" s="1026">
        <f t="shared" si="22"/>
        <v>4695.1154999999999</v>
      </c>
      <c r="N102" s="1026">
        <f t="shared" si="22"/>
        <v>4538.6116499999998</v>
      </c>
      <c r="O102" s="1026">
        <f t="shared" si="22"/>
        <v>4329.9398499999998</v>
      </c>
      <c r="P102" s="1026">
        <f t="shared" si="22"/>
        <v>4121.2680499999997</v>
      </c>
      <c r="Q102" s="1026">
        <f t="shared" si="22"/>
        <v>3860.4283</v>
      </c>
      <c r="R102" s="1026">
        <f t="shared" si="22"/>
        <v>3599.5885499999999</v>
      </c>
      <c r="S102" s="1026">
        <f t="shared" si="22"/>
        <v>3338.7487999999998</v>
      </c>
      <c r="T102" s="1026">
        <f t="shared" si="22"/>
        <v>3077.9090499999998</v>
      </c>
      <c r="U102" s="1026">
        <f t="shared" si="22"/>
        <v>2817.0693000000001</v>
      </c>
      <c r="V102" s="1026">
        <f t="shared" si="22"/>
        <v>2295.3897999999999</v>
      </c>
      <c r="W102" s="1026">
        <f t="shared" si="22"/>
        <v>1669.3743999999999</v>
      </c>
      <c r="X102" s="1026">
        <f t="shared" si="22"/>
        <v>886.85514999999998</v>
      </c>
      <c r="Y102" s="1026">
        <f t="shared" si="22"/>
        <v>0</v>
      </c>
      <c r="Z102" s="1026">
        <f t="shared" si="22"/>
        <v>0</v>
      </c>
      <c r="AA102" s="1026">
        <f t="shared" si="22"/>
        <v>0</v>
      </c>
      <c r="AB102" s="1026">
        <f t="shared" si="22"/>
        <v>0</v>
      </c>
      <c r="AC102" s="1026">
        <f t="shared" si="22"/>
        <v>0</v>
      </c>
    </row>
    <row r="103" spans="1:31" s="1" customFormat="1" ht="12.6" customHeight="1">
      <c r="A103" s="1023" t="s">
        <v>525</v>
      </c>
      <c r="B103" s="1024"/>
      <c r="C103" s="1026"/>
      <c r="D103" s="241"/>
      <c r="E103" s="1030">
        <f>$C$101*E107</f>
        <v>0</v>
      </c>
      <c r="F103" s="1030">
        <f t="shared" ref="F103:AC103" si="23">$C$101*F107</f>
        <v>0</v>
      </c>
      <c r="G103" s="1030">
        <f t="shared" si="23"/>
        <v>0</v>
      </c>
      <c r="H103" s="1030">
        <f t="shared" si="23"/>
        <v>0</v>
      </c>
      <c r="I103" s="1030">
        <f t="shared" si="23"/>
        <v>1275.5</v>
      </c>
      <c r="J103" s="1030">
        <f t="shared" si="23"/>
        <v>1275.5</v>
      </c>
      <c r="K103" s="1030">
        <f t="shared" si="23"/>
        <v>1913.25</v>
      </c>
      <c r="L103" s="1030">
        <f t="shared" si="23"/>
        <v>1913.25</v>
      </c>
      <c r="M103" s="1030">
        <f t="shared" si="23"/>
        <v>1913.25</v>
      </c>
      <c r="N103" s="1030">
        <f t="shared" si="23"/>
        <v>2551</v>
      </c>
      <c r="O103" s="1030">
        <f t="shared" si="23"/>
        <v>2551</v>
      </c>
      <c r="P103" s="1030">
        <f t="shared" si="23"/>
        <v>3188.75</v>
      </c>
      <c r="Q103" s="1030">
        <f t="shared" si="23"/>
        <v>3188.75</v>
      </c>
      <c r="R103" s="1030">
        <f t="shared" si="23"/>
        <v>3188.75</v>
      </c>
      <c r="S103" s="1030">
        <f t="shared" si="23"/>
        <v>3188.75</v>
      </c>
      <c r="T103" s="1030">
        <f t="shared" si="23"/>
        <v>3188.75</v>
      </c>
      <c r="U103" s="1030">
        <f t="shared" si="23"/>
        <v>6377.5</v>
      </c>
      <c r="V103" s="1030">
        <f t="shared" si="23"/>
        <v>7653</v>
      </c>
      <c r="W103" s="1030">
        <f t="shared" si="23"/>
        <v>9566.25</v>
      </c>
      <c r="X103" s="1030">
        <f t="shared" si="23"/>
        <v>10841.75</v>
      </c>
      <c r="Y103" s="1030">
        <f t="shared" si="23"/>
        <v>0</v>
      </c>
      <c r="Z103" s="1030">
        <f t="shared" si="23"/>
        <v>0</v>
      </c>
      <c r="AA103" s="1030">
        <f t="shared" si="23"/>
        <v>0</v>
      </c>
      <c r="AB103" s="1030">
        <f t="shared" si="23"/>
        <v>0</v>
      </c>
      <c r="AC103" s="1030">
        <f t="shared" si="23"/>
        <v>0</v>
      </c>
      <c r="AD103" s="9"/>
      <c r="AE103"/>
    </row>
    <row r="104" spans="1:31" s="120" customFormat="1">
      <c r="A104" s="1023" t="s">
        <v>526</v>
      </c>
      <c r="B104" s="1024"/>
      <c r="C104" s="1033"/>
      <c r="D104" s="241"/>
      <c r="E104" s="1033">
        <f>E103+E102</f>
        <v>5216.7950000000001</v>
      </c>
      <c r="F104" s="1033">
        <f t="shared" ref="F104:AC104" si="24">F103+F102</f>
        <v>5216.7950000000001</v>
      </c>
      <c r="G104" s="1033">
        <f t="shared" si="24"/>
        <v>5216.7950000000001</v>
      </c>
      <c r="H104" s="1033">
        <f t="shared" si="24"/>
        <v>5216.7950000000001</v>
      </c>
      <c r="I104" s="1033">
        <f t="shared" si="24"/>
        <v>6492.2950000000001</v>
      </c>
      <c r="J104" s="1033">
        <f t="shared" si="24"/>
        <v>6387.9591</v>
      </c>
      <c r="K104" s="1033">
        <f t="shared" si="24"/>
        <v>6921.3732</v>
      </c>
      <c r="L104" s="1033">
        <f t="shared" si="24"/>
        <v>6764.8693499999999</v>
      </c>
      <c r="M104" s="1033">
        <f t="shared" si="24"/>
        <v>6608.3654999999999</v>
      </c>
      <c r="N104" s="1033">
        <f t="shared" si="24"/>
        <v>7089.6116499999998</v>
      </c>
      <c r="O104" s="1033">
        <f t="shared" si="24"/>
        <v>6880.9398499999998</v>
      </c>
      <c r="P104" s="1033">
        <f t="shared" si="24"/>
        <v>7310.0180499999997</v>
      </c>
      <c r="Q104" s="1033">
        <f t="shared" si="24"/>
        <v>7049.1782999999996</v>
      </c>
      <c r="R104" s="1033">
        <f t="shared" si="24"/>
        <v>6788.3385500000004</v>
      </c>
      <c r="S104" s="1033">
        <f t="shared" si="24"/>
        <v>6527.4987999999994</v>
      </c>
      <c r="T104" s="1033">
        <f t="shared" si="24"/>
        <v>6266.6590500000002</v>
      </c>
      <c r="U104" s="1033">
        <f t="shared" si="24"/>
        <v>9194.5692999999992</v>
      </c>
      <c r="V104" s="1033">
        <f t="shared" si="24"/>
        <v>9948.3898000000008</v>
      </c>
      <c r="W104" s="1033">
        <f t="shared" si="24"/>
        <v>11235.624400000001</v>
      </c>
      <c r="X104" s="1033">
        <f t="shared" si="24"/>
        <v>11728.605149999999</v>
      </c>
      <c r="Y104" s="1034">
        <f t="shared" si="24"/>
        <v>0</v>
      </c>
      <c r="Z104" s="1035">
        <f t="shared" si="24"/>
        <v>0</v>
      </c>
      <c r="AA104" s="1035">
        <f t="shared" si="24"/>
        <v>0</v>
      </c>
      <c r="AB104" s="1035">
        <f t="shared" si="24"/>
        <v>0</v>
      </c>
      <c r="AC104" s="628">
        <f t="shared" si="24"/>
        <v>0</v>
      </c>
    </row>
    <row r="105" spans="1:31" s="120" customFormat="1">
      <c r="A105" s="1023" t="s">
        <v>527</v>
      </c>
      <c r="B105" s="1024"/>
      <c r="C105" s="1026"/>
      <c r="D105" s="241"/>
      <c r="E105" s="1026">
        <f t="shared" ref="E105:AC105" si="25">E101-E103</f>
        <v>63775</v>
      </c>
      <c r="F105" s="1026">
        <f t="shared" si="25"/>
        <v>63775</v>
      </c>
      <c r="G105" s="1026">
        <f t="shared" si="25"/>
        <v>63775</v>
      </c>
      <c r="H105" s="1026">
        <f t="shared" si="25"/>
        <v>63775</v>
      </c>
      <c r="I105" s="1026">
        <f t="shared" si="25"/>
        <v>62499.5</v>
      </c>
      <c r="J105" s="1026">
        <f t="shared" si="25"/>
        <v>61224</v>
      </c>
      <c r="K105" s="1026">
        <f t="shared" si="25"/>
        <v>59310.75</v>
      </c>
      <c r="L105" s="1026">
        <f t="shared" si="25"/>
        <v>57397.5</v>
      </c>
      <c r="M105" s="1026">
        <f t="shared" si="25"/>
        <v>55484.25</v>
      </c>
      <c r="N105" s="1026">
        <f t="shared" si="25"/>
        <v>52933.25</v>
      </c>
      <c r="O105" s="1026">
        <f t="shared" si="25"/>
        <v>50382.25</v>
      </c>
      <c r="P105" s="1026">
        <f t="shared" si="25"/>
        <v>47193.5</v>
      </c>
      <c r="Q105" s="1026">
        <f t="shared" si="25"/>
        <v>44004.75</v>
      </c>
      <c r="R105" s="1026">
        <f t="shared" si="25"/>
        <v>40816</v>
      </c>
      <c r="S105" s="1026">
        <f t="shared" si="25"/>
        <v>37627.25</v>
      </c>
      <c r="T105" s="1026">
        <f t="shared" si="25"/>
        <v>34438.5</v>
      </c>
      <c r="U105" s="1026">
        <f t="shared" si="25"/>
        <v>28061</v>
      </c>
      <c r="V105" s="1026">
        <f t="shared" si="25"/>
        <v>20408</v>
      </c>
      <c r="W105" s="1026">
        <f t="shared" si="25"/>
        <v>10841.75</v>
      </c>
      <c r="X105" s="1026">
        <f t="shared" si="25"/>
        <v>0</v>
      </c>
      <c r="Y105" s="1027">
        <f t="shared" si="25"/>
        <v>0</v>
      </c>
      <c r="Z105" s="1028">
        <f t="shared" si="25"/>
        <v>0</v>
      </c>
      <c r="AA105" s="1028">
        <f t="shared" si="25"/>
        <v>0</v>
      </c>
      <c r="AB105" s="1028">
        <f t="shared" si="25"/>
        <v>0</v>
      </c>
      <c r="AC105" s="626">
        <f t="shared" si="25"/>
        <v>0</v>
      </c>
    </row>
    <row r="106" spans="1:31" s="120" customFormat="1">
      <c r="A106" s="1023" t="s">
        <v>528</v>
      </c>
      <c r="B106" s="1024"/>
      <c r="C106" s="1166">
        <f>SUMPRODUCT(E99:AC99,$E$103:$AC$103)/SUM(E103:AC103)</f>
        <v>15.39</v>
      </c>
      <c r="D106" s="241"/>
      <c r="E106" s="1037"/>
      <c r="F106" s="1026"/>
      <c r="G106" s="1026"/>
      <c r="H106" s="1026"/>
      <c r="I106" s="1026"/>
      <c r="J106" s="1026"/>
      <c r="K106" s="1026"/>
      <c r="L106" s="1026"/>
      <c r="M106" s="1026"/>
      <c r="N106" s="1026"/>
      <c r="O106" s="1026"/>
      <c r="P106" s="1026"/>
      <c r="Q106" s="1026"/>
      <c r="R106" s="1026"/>
      <c r="S106" s="1026"/>
      <c r="T106" s="1026"/>
      <c r="U106" s="1026"/>
      <c r="V106" s="1026"/>
      <c r="W106" s="1026"/>
      <c r="X106" s="1026"/>
      <c r="Y106" s="1027"/>
      <c r="Z106" s="1028"/>
      <c r="AA106" s="1028"/>
      <c r="AB106" s="1028"/>
      <c r="AC106" s="626"/>
    </row>
    <row r="107" spans="1:31" s="120" customFormat="1">
      <c r="A107" s="683"/>
      <c r="B107" s="1038"/>
      <c r="C107" s="1039" t="s">
        <v>529</v>
      </c>
      <c r="D107" s="1040">
        <f>SUM(E107:AC107)</f>
        <v>1</v>
      </c>
      <c r="E107" s="1041">
        <v>0</v>
      </c>
      <c r="F107" s="1041">
        <v>0</v>
      </c>
      <c r="G107" s="1041">
        <v>0</v>
      </c>
      <c r="H107" s="1041">
        <v>0</v>
      </c>
      <c r="I107" s="1041">
        <v>0.02</v>
      </c>
      <c r="J107" s="1041">
        <v>0.02</v>
      </c>
      <c r="K107" s="1041">
        <v>0.03</v>
      </c>
      <c r="L107" s="1041">
        <v>0.03</v>
      </c>
      <c r="M107" s="1041">
        <v>0.03</v>
      </c>
      <c r="N107" s="1041">
        <v>0.04</v>
      </c>
      <c r="O107" s="1041">
        <v>0.04</v>
      </c>
      <c r="P107" s="1041">
        <v>0.05</v>
      </c>
      <c r="Q107" s="1041">
        <v>0.05</v>
      </c>
      <c r="R107" s="1041">
        <v>0.05</v>
      </c>
      <c r="S107" s="1041">
        <v>0.05</v>
      </c>
      <c r="T107" s="1041">
        <v>0.05</v>
      </c>
      <c r="U107" s="1041">
        <v>0.1</v>
      </c>
      <c r="V107" s="1041">
        <v>0.12</v>
      </c>
      <c r="W107" s="1041">
        <v>0.15</v>
      </c>
      <c r="X107" s="1041">
        <v>0.17</v>
      </c>
      <c r="Y107" s="1041">
        <v>0</v>
      </c>
      <c r="Z107" s="1041">
        <v>0</v>
      </c>
      <c r="AA107" s="1041">
        <v>0</v>
      </c>
      <c r="AB107" s="1041">
        <v>0</v>
      </c>
      <c r="AC107" s="1041">
        <v>0</v>
      </c>
    </row>
    <row r="108" spans="1:31" s="120" customFormat="1">
      <c r="A108" s="16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c r="AB108" s="163"/>
      <c r="AC108"/>
    </row>
    <row r="109" spans="1:31" s="120" customFormat="1" ht="12.6" customHeight="1">
      <c r="A109" s="16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63"/>
      <c r="AB109" s="163"/>
      <c r="AC109"/>
    </row>
    <row r="110" spans="1:31" s="120" customFormat="1" ht="12.6" customHeight="1">
      <c r="A110" s="16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c r="AA110" s="163"/>
      <c r="AB110" s="163"/>
      <c r="AC110"/>
    </row>
    <row r="111" spans="1:31" ht="12.6" customHeight="1"/>
    <row r="112" spans="1:31" ht="12.6" customHeight="1"/>
    <row r="113" spans="1:45" ht="12.6" customHeight="1"/>
    <row r="114" spans="1:45" ht="12.6" customHeight="1"/>
    <row r="115" spans="1:45" ht="12.6" customHeight="1"/>
    <row r="116" spans="1:45" ht="12.6" customHeight="1"/>
    <row r="117" spans="1:45" ht="12.6" customHeight="1"/>
    <row r="118" spans="1:45" ht="12.6" customHeight="1"/>
    <row r="119" spans="1:45" s="1" customFormat="1" ht="12.6" customHeight="1">
      <c r="A119" s="395"/>
      <c r="B119" s="184"/>
      <c r="C119" s="184"/>
      <c r="D119" s="509"/>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c r="AA119" s="186"/>
      <c r="AB119" s="186"/>
      <c r="AC119" s="4"/>
    </row>
    <row r="120" spans="1:45" s="1" customFormat="1" ht="12.6" customHeight="1">
      <c r="A120" s="170"/>
      <c r="B120" s="184"/>
      <c r="C120" s="184"/>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c r="AA120" s="186"/>
      <c r="AB120" s="186"/>
      <c r="AC120" s="4"/>
    </row>
    <row r="121" spans="1:45" s="1" customFormat="1" ht="12.6" customHeight="1">
      <c r="A121" s="395"/>
      <c r="B121" s="184"/>
      <c r="C121" s="184"/>
      <c r="D121" s="186"/>
      <c r="E121" s="505"/>
      <c r="F121" s="505"/>
      <c r="G121" s="505"/>
      <c r="H121" s="505"/>
      <c r="I121" s="505"/>
      <c r="J121" s="505"/>
      <c r="K121" s="505"/>
      <c r="L121" s="505"/>
      <c r="M121" s="505"/>
      <c r="N121" s="505"/>
      <c r="O121" s="505"/>
      <c r="P121" s="505"/>
      <c r="Q121" s="505"/>
      <c r="R121" s="505"/>
      <c r="S121" s="505"/>
      <c r="T121" s="505"/>
      <c r="U121" s="505"/>
      <c r="V121" s="505"/>
      <c r="W121" s="505"/>
      <c r="X121" s="505"/>
      <c r="Y121" s="505"/>
      <c r="Z121" s="505"/>
      <c r="AA121" s="505"/>
      <c r="AB121" s="505"/>
      <c r="AC121" s="12"/>
      <c r="AD121" s="12"/>
      <c r="AE121" s="12"/>
      <c r="AF121" s="12"/>
      <c r="AG121" s="12"/>
      <c r="AH121" s="12"/>
      <c r="AI121" s="12"/>
      <c r="AJ121" s="12"/>
      <c r="AK121" s="12"/>
      <c r="AL121" s="12"/>
      <c r="AM121" s="12"/>
      <c r="AN121" s="12"/>
      <c r="AO121" s="12"/>
      <c r="AP121" s="12"/>
      <c r="AQ121" s="12"/>
      <c r="AR121" s="12"/>
      <c r="AS121" s="12"/>
    </row>
    <row r="122" spans="1:45" s="1" customFormat="1" ht="12.6" customHeight="1">
      <c r="A122" s="395"/>
      <c r="B122" s="184"/>
      <c r="C122" s="184"/>
      <c r="D122" s="186"/>
      <c r="E122" s="510"/>
      <c r="F122" s="510"/>
      <c r="G122" s="510"/>
      <c r="H122" s="510"/>
      <c r="I122" s="510"/>
      <c r="J122" s="510"/>
      <c r="K122" s="510"/>
      <c r="L122" s="510"/>
      <c r="M122" s="510"/>
      <c r="N122" s="510"/>
      <c r="O122" s="510"/>
      <c r="P122" s="510"/>
      <c r="Q122" s="510"/>
      <c r="R122" s="510"/>
      <c r="S122" s="510"/>
      <c r="T122" s="510"/>
      <c r="U122" s="510"/>
      <c r="V122" s="510"/>
      <c r="W122" s="510"/>
      <c r="X122" s="510"/>
      <c r="Y122" s="510"/>
      <c r="Z122" s="510"/>
      <c r="AA122" s="510"/>
      <c r="AB122" s="510"/>
      <c r="AC122" s="124"/>
      <c r="AD122" s="124"/>
      <c r="AE122" s="124"/>
      <c r="AF122" s="124"/>
      <c r="AG122" s="124"/>
      <c r="AH122" s="124"/>
      <c r="AI122" s="124"/>
      <c r="AJ122" s="124"/>
      <c r="AK122" s="124"/>
      <c r="AL122" s="124"/>
      <c r="AM122" s="124"/>
      <c r="AN122" s="124"/>
      <c r="AO122" s="124"/>
      <c r="AP122" s="124"/>
      <c r="AQ122" s="124"/>
      <c r="AR122" s="124"/>
      <c r="AS122" s="124"/>
    </row>
    <row r="123" spans="1:45" s="1" customFormat="1" ht="12.6" customHeight="1">
      <c r="A123" s="395"/>
      <c r="B123" s="184"/>
      <c r="C123" s="184"/>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c r="AA123" s="186"/>
      <c r="AB123" s="186"/>
      <c r="AC123" s="4"/>
      <c r="AD123" s="4"/>
      <c r="AE123" s="4"/>
      <c r="AF123" s="4"/>
      <c r="AG123" s="4"/>
      <c r="AH123" s="4"/>
      <c r="AI123" s="4"/>
      <c r="AJ123" s="4"/>
      <c r="AK123" s="4"/>
      <c r="AL123" s="4"/>
      <c r="AM123" s="4"/>
      <c r="AN123" s="4"/>
      <c r="AO123" s="4"/>
      <c r="AP123" s="4"/>
      <c r="AQ123" s="4"/>
      <c r="AR123" s="4"/>
      <c r="AS123" s="4"/>
    </row>
    <row r="124" spans="1:45" s="1" customFormat="1" ht="12.6" customHeight="1">
      <c r="A124" s="395"/>
      <c r="B124" s="508"/>
      <c r="C124" s="508"/>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4"/>
      <c r="AD124" s="4"/>
      <c r="AE124" s="4"/>
      <c r="AF124" s="4"/>
      <c r="AG124" s="4"/>
      <c r="AH124" s="4"/>
      <c r="AI124" s="4"/>
      <c r="AJ124" s="4"/>
      <c r="AK124" s="4"/>
      <c r="AL124" s="4"/>
      <c r="AM124" s="4"/>
      <c r="AN124" s="4"/>
      <c r="AO124" s="4"/>
      <c r="AP124" s="4"/>
      <c r="AQ124" s="4"/>
      <c r="AR124" s="4"/>
      <c r="AS124" s="4"/>
    </row>
    <row r="125" spans="1:45" s="1" customFormat="1" ht="12.6" customHeight="1">
      <c r="A125" s="395"/>
      <c r="B125" s="184"/>
      <c r="C125" s="184"/>
      <c r="D125" s="509"/>
      <c r="E125" s="510"/>
      <c r="F125" s="510"/>
      <c r="G125" s="510"/>
      <c r="H125" s="510"/>
      <c r="I125" s="510"/>
      <c r="J125" s="510"/>
      <c r="K125" s="510"/>
      <c r="L125" s="510"/>
      <c r="M125" s="510"/>
      <c r="N125" s="510"/>
      <c r="O125" s="510"/>
      <c r="P125" s="510"/>
      <c r="Q125" s="510"/>
      <c r="R125" s="510"/>
      <c r="S125" s="510"/>
      <c r="T125" s="510"/>
      <c r="U125" s="510"/>
      <c r="V125" s="510"/>
      <c r="W125" s="510"/>
      <c r="X125" s="510"/>
      <c r="Y125" s="510"/>
      <c r="Z125" s="510"/>
      <c r="AA125" s="510"/>
      <c r="AB125" s="510"/>
      <c r="AC125" s="124"/>
      <c r="AD125" s="124"/>
      <c r="AE125" s="124"/>
      <c r="AF125" s="124"/>
      <c r="AG125" s="124"/>
      <c r="AH125" s="124"/>
      <c r="AI125" s="124"/>
      <c r="AJ125" s="124"/>
      <c r="AK125" s="124"/>
      <c r="AL125" s="124"/>
      <c r="AM125" s="124"/>
      <c r="AN125" s="124"/>
      <c r="AO125" s="124"/>
      <c r="AP125" s="124"/>
      <c r="AQ125" s="124"/>
      <c r="AR125" s="124"/>
      <c r="AS125" s="124"/>
    </row>
    <row r="126" spans="1:45" s="1" customFormat="1" ht="12.6" customHeight="1">
      <c r="A126" s="395"/>
      <c r="B126" s="184"/>
      <c r="C126" s="184"/>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c r="AA126" s="186"/>
      <c r="AB126" s="186"/>
      <c r="AC126" s="4"/>
    </row>
    <row r="127" spans="1:45" s="1" customFormat="1" ht="12.6" customHeight="1">
      <c r="A127" s="184"/>
      <c r="B127" s="184"/>
      <c r="C127" s="184"/>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c r="AA127" s="186"/>
      <c r="AB127" s="186"/>
      <c r="AC127" s="4"/>
    </row>
    <row r="128" spans="1:45" s="1" customFormat="1" ht="12.6" customHeight="1">
      <c r="A128" s="184"/>
      <c r="B128" s="184"/>
      <c r="C128" s="184"/>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c r="AA128" s="186"/>
      <c r="AB128" s="186"/>
      <c r="AC128" s="4"/>
    </row>
    <row r="129" spans="1:29" s="1" customFormat="1" ht="12.6" customHeight="1">
      <c r="A129" s="184"/>
      <c r="B129" s="184"/>
      <c r="C129" s="184"/>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c r="AA129" s="163"/>
      <c r="AB129" s="163"/>
      <c r="AC129"/>
    </row>
    <row r="130" spans="1:29" ht="12.6" customHeight="1"/>
    <row r="131" spans="1:29" ht="12.6" customHeight="1"/>
    <row r="132" spans="1:29" ht="12.6" customHeight="1"/>
    <row r="133" spans="1:29" ht="12.6" customHeight="1"/>
    <row r="134" spans="1:29" ht="12.6" customHeight="1"/>
    <row r="135" spans="1:29" ht="12.6" customHeight="1"/>
    <row r="136" spans="1:29" ht="12.6" customHeight="1"/>
    <row r="137" spans="1:29" ht="12.6" customHeight="1"/>
    <row r="138" spans="1:29" ht="12.6" customHeight="1"/>
    <row r="139" spans="1:29" ht="12.6" customHeight="1"/>
    <row r="140" spans="1:29" ht="12.6" customHeight="1"/>
    <row r="141" spans="1:29" ht="12.6" customHeight="1"/>
    <row r="142" spans="1:29" ht="12.6" customHeight="1"/>
    <row r="143" spans="1:29" ht="12.6" customHeight="1"/>
    <row r="144" spans="1:29"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row r="282" ht="12.6" customHeight="1"/>
    <row r="283"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5" right="0.5" top="1" bottom="1" header="0.5" footer="0.5"/>
  <pageSetup scale="37" pageOrder="overThenDown" orientation="landscape" r:id="rId3"/>
  <headerFooter alignWithMargins="0">
    <oddFooter>&amp;L&amp;D   &amp;T&amp;R&amp;F
&amp;A &amp;P</oddFooter>
  </headerFooter>
  <rowBreaks count="1" manualBreakCount="1">
    <brk id="61" max="16383" man="1"/>
  </rowBreaks>
  <colBreaks count="4" manualBreakCount="4">
    <brk id="20" max="5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84"/>
  <sheetViews>
    <sheetView topLeftCell="D48" workbookViewId="0">
      <selection activeCell="D72" sqref="D72"/>
    </sheetView>
  </sheetViews>
  <sheetFormatPr defaultColWidth="9.28515625" defaultRowHeight="12.6" customHeight="1"/>
  <cols>
    <col min="1" max="1" width="9.140625" style="184" customWidth="1"/>
    <col min="2" max="2" width="25" style="184" customWidth="1"/>
    <col min="3" max="3" width="7.140625" style="184" bestFit="1" customWidth="1"/>
    <col min="4" max="23" width="9.7109375" style="184" customWidth="1"/>
    <col min="24" max="28" width="9.7109375" style="1" customWidth="1"/>
    <col min="29" max="30" width="9.28515625" style="1" bestFit="1" customWidth="1"/>
    <col min="31" max="31" width="9.7109375" customWidth="1"/>
    <col min="32" max="32" width="10.7109375" style="1" customWidth="1"/>
    <col min="33" max="33" width="9.28515625" style="1" bestFit="1" customWidth="1"/>
    <col min="34" max="16384" width="9.28515625" style="1"/>
  </cols>
  <sheetData>
    <row r="1" spans="1:53" ht="20.25">
      <c r="B1" s="634" t="str">
        <f>'Project Assumptions'!$A$2</f>
        <v>CALEDONIA, Lowndes County, MS</v>
      </c>
      <c r="C1" s="635"/>
      <c r="D1" s="734"/>
      <c r="E1" s="735"/>
      <c r="F1" s="393"/>
      <c r="G1" s="393"/>
      <c r="H1" s="393"/>
      <c r="I1" s="393"/>
      <c r="J1" s="393"/>
      <c r="K1" s="393"/>
      <c r="L1" s="393"/>
      <c r="M1" s="393"/>
      <c r="N1" s="393"/>
      <c r="O1" s="393"/>
      <c r="P1" s="393"/>
      <c r="Q1" s="393"/>
      <c r="R1" s="393"/>
      <c r="S1" s="393"/>
      <c r="T1" s="393"/>
      <c r="U1" s="393"/>
      <c r="V1" s="393"/>
      <c r="W1" s="393"/>
      <c r="AD1" s="9"/>
    </row>
    <row r="2" spans="1:53" ht="15.6" customHeight="1">
      <c r="B2" s="637" t="s">
        <v>36</v>
      </c>
      <c r="C2" s="638"/>
      <c r="D2" s="736"/>
      <c r="E2" s="737"/>
      <c r="F2" s="200"/>
      <c r="G2" s="200"/>
      <c r="H2" s="200"/>
      <c r="I2" s="200"/>
      <c r="J2" s="200"/>
      <c r="K2" s="200"/>
      <c r="L2" s="200"/>
      <c r="M2" s="200"/>
      <c r="N2" s="200"/>
      <c r="O2" s="200"/>
      <c r="P2" s="200"/>
      <c r="Q2" s="200"/>
      <c r="R2" s="200"/>
      <c r="S2" s="200"/>
      <c r="T2" s="200"/>
      <c r="U2" s="200"/>
      <c r="V2" s="200"/>
      <c r="W2" s="200"/>
      <c r="X2" s="108"/>
      <c r="Y2" s="108"/>
      <c r="Z2" s="108"/>
      <c r="AA2" s="108"/>
      <c r="AB2" s="108"/>
      <c r="AD2" s="9"/>
    </row>
    <row r="3" spans="1:53" ht="12.6" customHeight="1">
      <c r="B3" s="394"/>
      <c r="C3" s="163"/>
      <c r="D3" s="184">
        <v>1</v>
      </c>
      <c r="E3" s="184">
        <f>D3+1</f>
        <v>2</v>
      </c>
      <c r="F3" s="184">
        <f t="shared" ref="F3:H4" si="0">E3+1</f>
        <v>3</v>
      </c>
      <c r="G3" s="184">
        <f t="shared" si="0"/>
        <v>4</v>
      </c>
      <c r="H3" s="184">
        <f t="shared" si="0"/>
        <v>5</v>
      </c>
      <c r="I3" s="184">
        <f t="shared" ref="I3:W3" si="1">H3+1</f>
        <v>6</v>
      </c>
      <c r="J3" s="184">
        <f t="shared" si="1"/>
        <v>7</v>
      </c>
      <c r="K3" s="184">
        <f t="shared" si="1"/>
        <v>8</v>
      </c>
      <c r="L3" s="184">
        <f t="shared" si="1"/>
        <v>9</v>
      </c>
      <c r="M3" s="184">
        <f t="shared" si="1"/>
        <v>10</v>
      </c>
      <c r="N3" s="184">
        <f t="shared" si="1"/>
        <v>11</v>
      </c>
      <c r="O3" s="184">
        <f t="shared" si="1"/>
        <v>12</v>
      </c>
      <c r="P3" s="184">
        <f t="shared" si="1"/>
        <v>13</v>
      </c>
      <c r="Q3" s="184">
        <f t="shared" si="1"/>
        <v>14</v>
      </c>
      <c r="R3" s="184">
        <f t="shared" si="1"/>
        <v>15</v>
      </c>
      <c r="S3" s="184">
        <f t="shared" si="1"/>
        <v>16</v>
      </c>
      <c r="T3" s="184">
        <f t="shared" si="1"/>
        <v>17</v>
      </c>
      <c r="U3" s="184">
        <f t="shared" si="1"/>
        <v>18</v>
      </c>
      <c r="V3" s="184">
        <f t="shared" si="1"/>
        <v>19</v>
      </c>
      <c r="W3" s="184">
        <f t="shared" si="1"/>
        <v>20</v>
      </c>
      <c r="X3" s="184">
        <f>W3+1</f>
        <v>21</v>
      </c>
      <c r="Y3" s="4"/>
      <c r="Z3" s="4"/>
      <c r="AA3" s="4"/>
      <c r="AB3" s="142"/>
      <c r="AC3" s="4"/>
      <c r="AD3" s="9"/>
    </row>
    <row r="4" spans="1:53" ht="12.6" customHeight="1">
      <c r="B4" s="830"/>
      <c r="C4" s="642"/>
      <c r="D4" s="759">
        <f>YEAR('[1]Project Assumptions'!$I$14)</f>
        <v>1999</v>
      </c>
      <c r="E4" s="759">
        <f>D4+1</f>
        <v>2000</v>
      </c>
      <c r="F4" s="759">
        <f t="shared" si="0"/>
        <v>2001</v>
      </c>
      <c r="G4" s="759">
        <f t="shared" si="0"/>
        <v>2002</v>
      </c>
      <c r="H4" s="759">
        <f t="shared" si="0"/>
        <v>2003</v>
      </c>
      <c r="I4" s="759">
        <f t="shared" ref="I4:W4" si="2">H4+1</f>
        <v>2004</v>
      </c>
      <c r="J4" s="759">
        <f t="shared" si="2"/>
        <v>2005</v>
      </c>
      <c r="K4" s="759">
        <f t="shared" si="2"/>
        <v>2006</v>
      </c>
      <c r="L4" s="759">
        <f t="shared" si="2"/>
        <v>2007</v>
      </c>
      <c r="M4" s="759">
        <f t="shared" si="2"/>
        <v>2008</v>
      </c>
      <c r="N4" s="759">
        <f t="shared" si="2"/>
        <v>2009</v>
      </c>
      <c r="O4" s="759">
        <f t="shared" si="2"/>
        <v>2010</v>
      </c>
      <c r="P4" s="759">
        <f t="shared" si="2"/>
        <v>2011</v>
      </c>
      <c r="Q4" s="759">
        <f t="shared" si="2"/>
        <v>2012</v>
      </c>
      <c r="R4" s="759">
        <f t="shared" si="2"/>
        <v>2013</v>
      </c>
      <c r="S4" s="759">
        <f t="shared" si="2"/>
        <v>2014</v>
      </c>
      <c r="T4" s="759">
        <f t="shared" si="2"/>
        <v>2015</v>
      </c>
      <c r="U4" s="759">
        <f t="shared" si="2"/>
        <v>2016</v>
      </c>
      <c r="V4" s="759">
        <f t="shared" si="2"/>
        <v>2017</v>
      </c>
      <c r="W4" s="759">
        <f t="shared" si="2"/>
        <v>2018</v>
      </c>
      <c r="X4" s="760">
        <f>W4+1</f>
        <v>2019</v>
      </c>
      <c r="Y4" s="143"/>
      <c r="Z4" s="143"/>
      <c r="AA4" s="143"/>
      <c r="AB4" s="143"/>
      <c r="AC4" s="143"/>
      <c r="AD4" s="39"/>
      <c r="AF4" s="39"/>
      <c r="AG4" s="39"/>
      <c r="AH4" s="39"/>
      <c r="AI4" s="39"/>
      <c r="AJ4" s="39"/>
      <c r="AK4" s="39"/>
      <c r="AL4" s="39"/>
      <c r="AM4" s="39"/>
      <c r="AN4" s="39"/>
      <c r="AO4" s="39"/>
      <c r="AP4" s="39"/>
      <c r="AQ4" s="39"/>
      <c r="AR4" s="39"/>
      <c r="AS4" s="39"/>
      <c r="AT4" s="39"/>
      <c r="AU4" s="39"/>
      <c r="AV4" s="39"/>
      <c r="AW4" s="39"/>
      <c r="AX4" s="39"/>
      <c r="AY4" s="39"/>
      <c r="AZ4" s="39"/>
      <c r="BA4" s="39"/>
    </row>
    <row r="5" spans="1:53" ht="12.6" customHeight="1">
      <c r="B5" s="859" t="str">
        <f>'[2]PPA Assu&amp;Sum'!A5</f>
        <v>Months of Operation</v>
      </c>
      <c r="C5" s="646"/>
      <c r="D5" s="762">
        <f>'PPA Assumptions &amp; Summary'!C6</f>
        <v>5</v>
      </c>
      <c r="E5" s="762">
        <f>'PPA Assumptions &amp; Summary'!D6</f>
        <v>12</v>
      </c>
      <c r="F5" s="762">
        <f>'PPA Assumptions &amp; Summary'!E6</f>
        <v>12</v>
      </c>
      <c r="G5" s="762">
        <f>'PPA Assumptions &amp; Summary'!F6</f>
        <v>12</v>
      </c>
      <c r="H5" s="762">
        <f>'PPA Assumptions &amp; Summary'!G6</f>
        <v>12</v>
      </c>
      <c r="I5" s="762">
        <f>'PPA Assumptions &amp; Summary'!H6</f>
        <v>12</v>
      </c>
      <c r="J5" s="762">
        <f>'PPA Assumptions &amp; Summary'!I6</f>
        <v>12</v>
      </c>
      <c r="K5" s="762">
        <f>'PPA Assumptions &amp; Summary'!J6</f>
        <v>12</v>
      </c>
      <c r="L5" s="762">
        <f>'PPA Assumptions &amp; Summary'!K6</f>
        <v>12</v>
      </c>
      <c r="M5" s="762">
        <f>'PPA Assumptions &amp; Summary'!L6</f>
        <v>12</v>
      </c>
      <c r="N5" s="762">
        <f>'PPA Assumptions &amp; Summary'!M6</f>
        <v>12</v>
      </c>
      <c r="O5" s="762">
        <f>'PPA Assumptions &amp; Summary'!N6</f>
        <v>12</v>
      </c>
      <c r="P5" s="762">
        <f>'PPA Assumptions &amp; Summary'!O6</f>
        <v>12</v>
      </c>
      <c r="Q5" s="762">
        <f>'PPA Assumptions &amp; Summary'!P6</f>
        <v>12</v>
      </c>
      <c r="R5" s="762">
        <f>'PPA Assumptions &amp; Summary'!Q6</f>
        <v>12</v>
      </c>
      <c r="S5" s="762">
        <f>'PPA Assumptions &amp; Summary'!R6</f>
        <v>12</v>
      </c>
      <c r="T5" s="762">
        <f>'PPA Assumptions &amp; Summary'!S6</f>
        <v>12</v>
      </c>
      <c r="U5" s="762">
        <f>'PPA Assumptions &amp; Summary'!T6</f>
        <v>12</v>
      </c>
      <c r="V5" s="762">
        <f>'PPA Assumptions &amp; Summary'!U6</f>
        <v>12</v>
      </c>
      <c r="W5" s="762">
        <f>'PPA Assumptions &amp; Summary'!V6</f>
        <v>12</v>
      </c>
      <c r="X5" s="764">
        <f>'PPA Assumptions &amp; Summary'!W6</f>
        <v>12</v>
      </c>
      <c r="Y5" s="113"/>
      <c r="Z5" s="113"/>
      <c r="AA5" s="113"/>
      <c r="AB5" s="113"/>
      <c r="AC5" s="4"/>
      <c r="AD5" s="9"/>
    </row>
    <row r="6" spans="1:53" ht="12.6" customHeight="1">
      <c r="B6" s="859" t="str">
        <f>'[2]PPA Assu&amp;Sum'!A6</f>
        <v>Months of Year Under PPA</v>
      </c>
      <c r="C6" s="646"/>
      <c r="D6" s="762">
        <f>'PPA Assumptions &amp; Summary'!C7</f>
        <v>5</v>
      </c>
      <c r="E6" s="762">
        <f>'PPA Assumptions &amp; Summary'!D7</f>
        <v>12</v>
      </c>
      <c r="F6" s="762">
        <f>'PPA Assumptions &amp; Summary'!E7</f>
        <v>12</v>
      </c>
      <c r="G6" s="762">
        <f>'PPA Assumptions &amp; Summary'!F7</f>
        <v>12</v>
      </c>
      <c r="H6" s="762">
        <f>'PPA Assumptions &amp; Summary'!G7</f>
        <v>5</v>
      </c>
      <c r="I6" s="762">
        <f>'PPA Assumptions &amp; Summary'!H7</f>
        <v>0</v>
      </c>
      <c r="J6" s="762">
        <f>'PPA Assumptions &amp; Summary'!I7</f>
        <v>0</v>
      </c>
      <c r="K6" s="762">
        <f>'PPA Assumptions &amp; Summary'!J7</f>
        <v>0</v>
      </c>
      <c r="L6" s="762">
        <f>'PPA Assumptions &amp; Summary'!K7</f>
        <v>0</v>
      </c>
      <c r="M6" s="762">
        <f>'PPA Assumptions &amp; Summary'!L7</f>
        <v>0</v>
      </c>
      <c r="N6" s="762">
        <f>'PPA Assumptions &amp; Summary'!M7</f>
        <v>0</v>
      </c>
      <c r="O6" s="762">
        <f>'PPA Assumptions &amp; Summary'!N7</f>
        <v>0</v>
      </c>
      <c r="P6" s="762">
        <f>'PPA Assumptions &amp; Summary'!O7</f>
        <v>0</v>
      </c>
      <c r="Q6" s="762">
        <f>'PPA Assumptions &amp; Summary'!P7</f>
        <v>0</v>
      </c>
      <c r="R6" s="762">
        <f>'PPA Assumptions &amp; Summary'!Q7</f>
        <v>0</v>
      </c>
      <c r="S6" s="762">
        <f>'PPA Assumptions &amp; Summary'!R7</f>
        <v>0</v>
      </c>
      <c r="T6" s="762">
        <f>'PPA Assumptions &amp; Summary'!S7</f>
        <v>0</v>
      </c>
      <c r="U6" s="762">
        <f>'PPA Assumptions &amp; Summary'!T7</f>
        <v>0</v>
      </c>
      <c r="V6" s="762">
        <f>'PPA Assumptions &amp; Summary'!U7</f>
        <v>0</v>
      </c>
      <c r="W6" s="762">
        <f>'PPA Assumptions &amp; Summary'!V7</f>
        <v>0</v>
      </c>
      <c r="X6" s="764">
        <f>'PPA Assumptions &amp; Summary'!W7</f>
        <v>0</v>
      </c>
      <c r="Y6" s="113"/>
      <c r="Z6" s="113"/>
      <c r="AA6" s="113"/>
      <c r="AB6" s="113"/>
      <c r="AC6" s="4"/>
      <c r="AD6" s="9"/>
    </row>
    <row r="7" spans="1:53" s="4" customFormat="1" ht="12.6" customHeight="1">
      <c r="A7" s="186"/>
      <c r="B7" s="860" t="str">
        <f>'[2]PPA Assu&amp;Sum'!A7</f>
        <v>Months of Year Merchant</v>
      </c>
      <c r="C7" s="789"/>
      <c r="D7" s="861">
        <f>'PPA Assumptions &amp; Summary'!C8</f>
        <v>0</v>
      </c>
      <c r="E7" s="861">
        <f>'PPA Assumptions &amp; Summary'!D8</f>
        <v>0</v>
      </c>
      <c r="F7" s="861">
        <f>'PPA Assumptions &amp; Summary'!E8</f>
        <v>0</v>
      </c>
      <c r="G7" s="861">
        <f>'PPA Assumptions &amp; Summary'!F8</f>
        <v>0</v>
      </c>
      <c r="H7" s="861">
        <f>'PPA Assumptions &amp; Summary'!G8</f>
        <v>7</v>
      </c>
      <c r="I7" s="861">
        <f>'PPA Assumptions &amp; Summary'!H8</f>
        <v>12</v>
      </c>
      <c r="J7" s="861">
        <f>'PPA Assumptions &amp; Summary'!I8</f>
        <v>12</v>
      </c>
      <c r="K7" s="861">
        <f>'PPA Assumptions &amp; Summary'!J8</f>
        <v>12</v>
      </c>
      <c r="L7" s="861">
        <f>'PPA Assumptions &amp; Summary'!K8</f>
        <v>12</v>
      </c>
      <c r="M7" s="861">
        <f>'PPA Assumptions &amp; Summary'!L8</f>
        <v>12</v>
      </c>
      <c r="N7" s="861">
        <f>'PPA Assumptions &amp; Summary'!M8</f>
        <v>12</v>
      </c>
      <c r="O7" s="861">
        <f>'PPA Assumptions &amp; Summary'!N8</f>
        <v>12</v>
      </c>
      <c r="P7" s="861">
        <f>'PPA Assumptions &amp; Summary'!O8</f>
        <v>12</v>
      </c>
      <c r="Q7" s="861">
        <f>'PPA Assumptions &amp; Summary'!P8</f>
        <v>12</v>
      </c>
      <c r="R7" s="861">
        <f>'PPA Assumptions &amp; Summary'!Q8</f>
        <v>12</v>
      </c>
      <c r="S7" s="861">
        <f>'PPA Assumptions &amp; Summary'!R8</f>
        <v>12</v>
      </c>
      <c r="T7" s="861">
        <f>'PPA Assumptions &amp; Summary'!S8</f>
        <v>12</v>
      </c>
      <c r="U7" s="861">
        <f>'PPA Assumptions &amp; Summary'!T8</f>
        <v>12</v>
      </c>
      <c r="V7" s="861">
        <f>'PPA Assumptions &amp; Summary'!U8</f>
        <v>12</v>
      </c>
      <c r="W7" s="861">
        <f>'PPA Assumptions &amp; Summary'!V8</f>
        <v>12</v>
      </c>
      <c r="X7" s="862">
        <f>'PPA Assumptions &amp; Summary'!W8</f>
        <v>12</v>
      </c>
      <c r="Y7" s="144"/>
      <c r="Z7" s="144"/>
      <c r="AA7" s="144"/>
      <c r="AB7" s="144"/>
      <c r="AD7" s="9"/>
      <c r="AE7"/>
    </row>
    <row r="8" spans="1:53" s="4" customFormat="1" ht="12.6" customHeight="1">
      <c r="A8" s="186"/>
      <c r="B8" s="395"/>
      <c r="C8" s="186"/>
      <c r="D8" s="396"/>
      <c r="E8" s="396"/>
      <c r="F8" s="396"/>
      <c r="G8" s="396"/>
      <c r="H8" s="396"/>
      <c r="I8" s="396"/>
      <c r="J8" s="396"/>
      <c r="K8" s="396"/>
      <c r="L8" s="396"/>
      <c r="M8" s="396"/>
      <c r="N8" s="396"/>
      <c r="O8" s="396"/>
      <c r="P8" s="396"/>
      <c r="Q8" s="396"/>
      <c r="R8" s="396"/>
      <c r="S8" s="396"/>
      <c r="T8" s="396"/>
      <c r="U8" s="396"/>
      <c r="V8" s="396"/>
      <c r="W8" s="396"/>
      <c r="X8" s="396"/>
      <c r="Y8" s="113"/>
      <c r="Z8" s="113"/>
      <c r="AA8" s="113"/>
      <c r="AB8" s="113"/>
      <c r="AD8" s="9"/>
      <c r="AE8"/>
    </row>
    <row r="9" spans="1:53" s="4" customFormat="1" ht="12.6" customHeight="1">
      <c r="A9" s="186"/>
      <c r="B9" s="863" t="s">
        <v>2</v>
      </c>
      <c r="C9" s="864"/>
      <c r="D9" s="642"/>
      <c r="E9" s="642"/>
      <c r="F9" s="865"/>
      <c r="G9" s="865"/>
      <c r="H9" s="865"/>
      <c r="I9" s="865"/>
      <c r="J9" s="865"/>
      <c r="K9" s="865"/>
      <c r="L9" s="865"/>
      <c r="M9" s="865"/>
      <c r="N9" s="865"/>
      <c r="O9" s="865"/>
      <c r="P9" s="865"/>
      <c r="Q9" s="865"/>
      <c r="R9" s="865"/>
      <c r="S9" s="865"/>
      <c r="T9" s="865"/>
      <c r="U9" s="865"/>
      <c r="V9" s="865"/>
      <c r="W9" s="865"/>
      <c r="X9" s="731"/>
      <c r="Y9" s="113"/>
      <c r="Z9" s="113"/>
      <c r="AA9" s="113"/>
      <c r="AB9" s="113"/>
      <c r="AD9" s="9"/>
      <c r="AE9"/>
    </row>
    <row r="10" spans="1:53" s="4" customFormat="1" ht="12.6" customHeight="1">
      <c r="A10" s="186"/>
      <c r="B10" s="652" t="s">
        <v>402</v>
      </c>
      <c r="C10" s="646"/>
      <c r="D10" s="797">
        <f>Operations!C31*'PPA Assumptions &amp; Summary'!C12/1000</f>
        <v>16236.816959999998</v>
      </c>
      <c r="E10" s="797">
        <f>Operations!D31*'PPA Assumptions &amp; Summary'!D12/1000</f>
        <v>16558.247159999995</v>
      </c>
      <c r="F10" s="797">
        <f>Operations!E31*'PPA Assumptions &amp; Summary'!E12/1000</f>
        <v>16787.84016</v>
      </c>
      <c r="G10" s="797">
        <f>Operations!F31*'PPA Assumptions &amp; Summary'!F12/1000</f>
        <v>16787.84016</v>
      </c>
      <c r="H10" s="797">
        <f>Operations!G31*'PPA Assumptions &amp; Summary'!G12/1000</f>
        <v>17658.717429565331</v>
      </c>
      <c r="I10" s="797">
        <f>Operations!H31*'PPA Assumptions &amp; Summary'!H12/1000</f>
        <v>18129.691856639991</v>
      </c>
      <c r="J10" s="797">
        <f>Operations!I31*'PPA Assumptions &amp; Summary'!I12/1000</f>
        <v>18129.691856639991</v>
      </c>
      <c r="K10" s="797">
        <f>Operations!J31*'PPA Assumptions &amp; Summary'!J12/1000</f>
        <v>18129.691856639991</v>
      </c>
      <c r="L10" s="797">
        <f>Operations!K31*'PPA Assumptions &amp; Summary'!K12/1000</f>
        <v>18129.691856639991</v>
      </c>
      <c r="M10" s="797">
        <f>Operations!L31*'PPA Assumptions &amp; Summary'!L12/1000</f>
        <v>18129.691856639991</v>
      </c>
      <c r="N10" s="797">
        <f>Operations!M31*'PPA Assumptions &amp; Summary'!M12/1000</f>
        <v>18129.691856639991</v>
      </c>
      <c r="O10" s="797">
        <f>Operations!N31*'PPA Assumptions &amp; Summary'!N12/1000</f>
        <v>18129.691856639991</v>
      </c>
      <c r="P10" s="797">
        <f>Operations!O31*'PPA Assumptions &amp; Summary'!O12/1000</f>
        <v>18129.691856639991</v>
      </c>
      <c r="Q10" s="797">
        <f>Operations!P31*'PPA Assumptions &amp; Summary'!P12/1000</f>
        <v>18129.691856639991</v>
      </c>
      <c r="R10" s="797">
        <f>Operations!Q31*'PPA Assumptions &amp; Summary'!Q12/1000</f>
        <v>18129.691856639991</v>
      </c>
      <c r="S10" s="797">
        <f>Operations!R31*'PPA Assumptions &amp; Summary'!R12/1000</f>
        <v>18129.691856639991</v>
      </c>
      <c r="T10" s="797">
        <f>Operations!S31*'PPA Assumptions &amp; Summary'!S12/1000</f>
        <v>18129.691856639991</v>
      </c>
      <c r="U10" s="797">
        <f>Operations!T31*'PPA Assumptions &amp; Summary'!T12/1000</f>
        <v>18129.691856639991</v>
      </c>
      <c r="V10" s="797">
        <f>Operations!U31*'PPA Assumptions &amp; Summary'!U12/1000</f>
        <v>18129.691856639991</v>
      </c>
      <c r="W10" s="797">
        <f>Operations!V31*'PPA Assumptions &amp; Summary'!V12/1000</f>
        <v>18129.691856639991</v>
      </c>
      <c r="X10" s="798">
        <f>Operations!W31*'PPA Assumptions &amp; Summary'!W12/1000</f>
        <v>18129.691856639991</v>
      </c>
      <c r="Y10" s="113"/>
      <c r="Z10" s="113"/>
      <c r="AA10" s="113"/>
      <c r="AB10" s="113"/>
      <c r="AD10" s="9"/>
      <c r="AE10"/>
    </row>
    <row r="11" spans="1:53" ht="12.6" customHeight="1">
      <c r="A11" s="184">
        <v>1</v>
      </c>
      <c r="B11" s="866" t="s">
        <v>403</v>
      </c>
      <c r="C11" s="654"/>
      <c r="D11" s="797">
        <f>(Operations!C8*'PPA Assumptions &amp; Summary'!C13*D6)+((Operations!C17*(1-Cap_Factor_Energy))*'PPA Assumptions &amp; Summary'!C14*D7)</f>
        <v>8840</v>
      </c>
      <c r="E11" s="797">
        <f>(Operations!D8*'PPA Assumptions &amp; Summary'!D13*E6)+((Operations!D17*(1-Cap_Factor_Energy))*'PPA Assumptions &amp; Summary'!D14*E7)</f>
        <v>21636</v>
      </c>
      <c r="F11" s="797">
        <f>(Operations!E8*'PPA Assumptions &amp; Summary'!E13*F6)+((Operations!E17*(1-Cap_Factor_Energy))*'PPA Assumptions &amp; Summary'!E14*F7)</f>
        <v>21936</v>
      </c>
      <c r="G11" s="797">
        <f>(Operations!F8*'PPA Assumptions &amp; Summary'!F13*G6)+((Operations!F17*(1-Cap_Factor_Energy))*'PPA Assumptions &amp; Summary'!F14*G7)</f>
        <v>21936</v>
      </c>
      <c r="H11" s="797">
        <f>(Operations!G8*'PPA Assumptions &amp; Summary'!G13*H6)+((Operations!G17*(1-Cap_Factor_Energy))*'PPA Assumptions &amp; Summary'!G14*H7)</f>
        <v>28437.133526430756</v>
      </c>
      <c r="I11" s="797">
        <f>(Operations!H8*'PPA Assumptions &amp; Summary'!H13*I6)+((Operations!H17*(1-Cap_Factor_Energy))*'PPA Assumptions &amp; Summary'!H14*I7)</f>
        <v>33495.712063989544</v>
      </c>
      <c r="J11" s="797">
        <f>(Operations!I8*'PPA Assumptions &amp; Summary'!I13*J6)+((Operations!I17*(1-Cap_Factor_Energy))*'PPA Assumptions &amp; Summary'!I14*J7)</f>
        <v>33905.745780634934</v>
      </c>
      <c r="K11" s="797">
        <f>(Operations!J8*'PPA Assumptions &amp; Summary'!J13*K6)+((Operations!J17*(1-Cap_Factor_Energy))*'PPA Assumptions &amp; Summary'!J14*K7)</f>
        <v>34310.23537942145</v>
      </c>
      <c r="L11" s="797">
        <f>(Operations!K8*'PPA Assumptions &amp; Summary'!K13*L6)+((Operations!K17*(1-Cap_Factor_Energy))*'PPA Assumptions &amp; Summary'!K14*L7)</f>
        <v>35339.5424408041</v>
      </c>
      <c r="M11" s="797">
        <f>(Operations!L8*'PPA Assumptions &amp; Summary'!L13*M6)+((Operations!L17*(1-Cap_Factor_Energy))*'PPA Assumptions &amp; Summary'!L14*M7)</f>
        <v>35749.733558420572</v>
      </c>
      <c r="N11" s="797">
        <f>(Operations!M8*'PPA Assumptions &amp; Summary'!M13*N6)+((Operations!M17*(1-Cap_Factor_Energy))*'PPA Assumptions &amp; Summary'!M14*N7)</f>
        <v>36822.225565173198</v>
      </c>
      <c r="O11" s="797">
        <f>(Operations!N8*'PPA Assumptions &amp; Summary'!N13*O6)+((Operations!N17*(1-Cap_Factor_Energy))*'PPA Assumptions &amp; Summary'!N14*O7)</f>
        <v>37237.312471544239</v>
      </c>
      <c r="P11" s="797">
        <f>(Operations!O8*'PPA Assumptions &amp; Summary'!O13*P6)+((Operations!O17*(1-Cap_Factor_Energy))*'PPA Assumptions &amp; Summary'!O14*P7)</f>
        <v>38354.43184569056</v>
      </c>
      <c r="Q11" s="797">
        <f>(Operations!P8*'PPA Assumptions &amp; Summary'!P13*Q6)+((Operations!P17*(1-Cap_Factor_Energy))*'PPA Assumptions &amp; Summary'!P14*Q7)</f>
        <v>38773.489526967554</v>
      </c>
      <c r="R11" s="797">
        <f>(Operations!Q8*'PPA Assumptions &amp; Summary'!Q13*R6)+((Operations!Q17*(1-Cap_Factor_Energy))*'PPA Assumptions &amp; Summary'!Q14*R7)</f>
        <v>39183.171680460044</v>
      </c>
      <c r="S11" s="797">
        <f>(Operations!R8*'PPA Assumptions &amp; Summary'!R13*S6)+((Operations!R17*(1-Cap_Factor_Energy))*'PPA Assumptions &amp; Summary'!R14*S7)</f>
        <v>39582.538622587803</v>
      </c>
      <c r="T11" s="797">
        <f>(Operations!S8*'PPA Assumptions &amp; Summary'!S13*T6)+((Operations!S17*(1-Cap_Factor_Energy))*'PPA Assumptions &amp; Summary'!S14*T7)</f>
        <v>39970.602726730809</v>
      </c>
      <c r="U11" s="797">
        <f>(Operations!T8*'PPA Assumptions &amp; Summary'!T13*U6)+((Operations!T17*(1-Cap_Factor_Energy))*'PPA Assumptions &amp; Summary'!T14*U7)</f>
        <v>40346.326392362083</v>
      </c>
      <c r="V11" s="797">
        <f>(Operations!U8*'PPA Assumptions &amp; Summary'!U13*V6)+((Operations!U17*(1-Cap_Factor_Energy))*'PPA Assumptions &amp; Summary'!U14*V7)</f>
        <v>40708.619935477182</v>
      </c>
      <c r="W11" s="797">
        <f>(Operations!V8*'PPA Assumptions &amp; Summary'!V13*W6)+((Operations!V17*(1-Cap_Factor_Energy))*'PPA Assumptions &amp; Summary'!V14*W7)</f>
        <v>41056.33939742604</v>
      </c>
      <c r="X11" s="798">
        <f>(Operations!W8*'PPA Assumptions &amp; Summary'!W13*X6)+((Operations!W17*(1-Cap_Factor_Energy))*'PPA Assumptions &amp; Summary'!W14*X7)</f>
        <v>41388.284269149903</v>
      </c>
    </row>
    <row r="12" spans="1:53" ht="12.6" customHeight="1">
      <c r="B12" s="866" t="s">
        <v>607</v>
      </c>
      <c r="C12" s="654"/>
      <c r="D12" s="797">
        <f>(Operations!C12+Operations!C22)*'PPA Assumptions &amp; Summary'!C24/1000</f>
        <v>472.12000000000006</v>
      </c>
      <c r="E12" s="797">
        <f>(Operations!D12+Operations!D22)*'PPA Assumptions &amp; Summary'!D24/1000</f>
        <v>495.91025497737564</v>
      </c>
      <c r="F12" s="797">
        <f>(Operations!E12+Operations!E22)*'PPA Assumptions &amp; Summary'!E24/1000</f>
        <v>517.87003021719454</v>
      </c>
      <c r="G12" s="797">
        <f>(Operations!F12+Operations!F22)*'PPA Assumptions &amp; Summary'!F24/1000</f>
        <v>533.40613112371045</v>
      </c>
      <c r="H12" s="797">
        <f>(Operations!G12+Operations!G22)*'PPA Assumptions &amp; Summary'!G24/1000</f>
        <v>577.90913521853622</v>
      </c>
      <c r="I12" s="797">
        <f>(Operations!H12+Operations!H22)*'PPA Assumptions &amp; Summary'!H24/1000</f>
        <v>611.12218494763442</v>
      </c>
      <c r="J12" s="797">
        <f>(Operations!I12+Operations!I22)*'PPA Assumptions &amp; Summary'!I24/1000</f>
        <v>629.45585049606359</v>
      </c>
      <c r="K12" s="797">
        <f>(Operations!J12+Operations!J22)*'PPA Assumptions &amp; Summary'!J24/1000</f>
        <v>648.33952601094552</v>
      </c>
      <c r="L12" s="797">
        <f>(Operations!K12+Operations!K22)*'PPA Assumptions &amp; Summary'!K24/1000</f>
        <v>667.78971179127382</v>
      </c>
      <c r="M12" s="797">
        <f>(Operations!L12+Operations!L22)*'PPA Assumptions &amp; Summary'!L24/1000</f>
        <v>687.82340314501209</v>
      </c>
      <c r="N12" s="797">
        <f>(Operations!M12+Operations!M22)*'PPA Assumptions &amp; Summary'!M24/1000</f>
        <v>708.45810523936245</v>
      </c>
      <c r="O12" s="797">
        <f>(Operations!N12+Operations!N22)*'PPA Assumptions &amp; Summary'!N24/1000</f>
        <v>729.71184839654325</v>
      </c>
      <c r="P12" s="797">
        <f>(Operations!O12+Operations!O22)*'PPA Assumptions &amp; Summary'!O24/1000</f>
        <v>751.60320384843953</v>
      </c>
      <c r="Q12" s="797">
        <f>(Operations!P12+Operations!P22)*'PPA Assumptions &amp; Summary'!P24/1000</f>
        <v>774.1512999638926</v>
      </c>
      <c r="R12" s="797">
        <f>(Operations!Q12+Operations!Q22)*'PPA Assumptions &amp; Summary'!Q24/1000</f>
        <v>797.37583896280955</v>
      </c>
      <c r="S12" s="797">
        <f>(Operations!R12+Operations!R22)*'PPA Assumptions &amp; Summary'!R24/1000</f>
        <v>821.29711413169389</v>
      </c>
      <c r="T12" s="797">
        <f>(Operations!S12+Operations!S22)*'PPA Assumptions &amp; Summary'!S24/1000</f>
        <v>845.9360275556445</v>
      </c>
      <c r="U12" s="797">
        <f>(Operations!T12+Operations!T22)*'PPA Assumptions &amp; Summary'!T24/1000</f>
        <v>871.31410838231386</v>
      </c>
      <c r="V12" s="797">
        <f>(Operations!U12+Operations!U22)*'PPA Assumptions &amp; Summary'!U24/1000</f>
        <v>897.45353163378331</v>
      </c>
      <c r="W12" s="797">
        <f>(Operations!V12+Operations!V22)*'PPA Assumptions &amp; Summary'!V24/1000</f>
        <v>924.37713758279676</v>
      </c>
      <c r="X12" s="798">
        <f>(Operations!W12+Operations!W22)*'PPA Assumptions &amp; Summary'!W24/1000</f>
        <v>952.10845171028075</v>
      </c>
    </row>
    <row r="13" spans="1:53" ht="12.6" customHeight="1">
      <c r="B13" s="866" t="s">
        <v>658</v>
      </c>
      <c r="C13" s="654"/>
      <c r="D13" s="797">
        <f>IF(D3&gt;ProjectLife+1,0,(Main_Start*'Project Assumptions'!$L$15*((1+Main_Escal)^('Book Income Statement'!D4-'Project Assumptions'!$N$6))+Fuel_Start*'Project Assumptions'!$L$16)/1000)+((Main_Start*1/3)*'Project Assumptions'!$L$15*((1+Main_Escal)^('Book Income Statement'!D4-'Project Assumptions'!$N$6))+Fuel_Start*'Project Assumptions'!$L$16)/1000*D7/12</f>
        <v>1349.28</v>
      </c>
      <c r="E13" s="797">
        <f>IF(E3&gt;ProjectLife+1,0,(Main_Start*'Project Assumptions'!$L$15*((1+Main_Escal)^('Book Income Statement'!E4-'Project Assumptions'!$N$6))+Fuel_Start*'Project Assumptions'!$L$16)/1000)*E6/12+((Main_Start*1/3)*'Project Assumptions'!$L$15*((1+Main_Escal)^('Book Income Statement'!E4-'Project Assumptions'!$N$6))+Fuel_Start*'Project Assumptions'!$L$16)/1000*E7/12</f>
        <v>1389.7583999999999</v>
      </c>
      <c r="F13" s="797">
        <f>IF(F3&gt;ProjectLife+1,0,(Main_Start*'Project Assumptions'!$L$15*((1+Main_Escal)^('Book Income Statement'!F4-'Project Assumptions'!$N$6))+Fuel_Start*'Project Assumptions'!$L$16)/1000)*F6/12+((Main_Start*1/3)*'Project Assumptions'!$L$15*((1+Main_Escal)^('Book Income Statement'!F4-'Project Assumptions'!$N$6))+Fuel_Start*'Project Assumptions'!$L$16)/1000*F7/12</f>
        <v>1431.4511520000003</v>
      </c>
      <c r="G13" s="797">
        <f>IF(G3&gt;ProjectLife+1,0,(Main_Start*'Project Assumptions'!$L$15*((1+Main_Escal)^('Book Income Statement'!G4-'Project Assumptions'!$N$6))+Fuel_Start*'Project Assumptions'!$L$16)/1000)*G6/12+((Main_Start*1/3)*'Project Assumptions'!$L$15*((1+Main_Escal)^('Book Income Statement'!G4-'Project Assumptions'!$N$6))+Fuel_Start*'Project Assumptions'!$L$16)/1000*G7/12</f>
        <v>1474.3946865600001</v>
      </c>
      <c r="H13" s="797">
        <f>IF(H3&gt;ProjectLife+1,0,(Main_Start*'Project Assumptions'!$L$15*((1+Main_Escal)^('Book Income Statement'!H4-'Project Assumptions'!$N$6))+Fuel_Start*'Project Assumptions'!$L$16)/1000)*H6/12+((Main_Start*1/3)*'Project Assumptions'!$L$15*((1+Main_Escal)^('Book Income Statement'!H4-'Project Assumptions'!$N$6))+Fuel_Start*'Project Assumptions'!$L$16)/1000*H7/12</f>
        <v>928.04954437359993</v>
      </c>
      <c r="I13" s="797">
        <f>IF(I3&gt;ProjectLife+1,0,(Main_Start*'Project Assumptions'!$L$15*((1+Main_Escal)^('Book Income Statement'!I4-'Project Assumptions'!$N$6))+Fuel_Start*'Project Assumptions'!$L$16)/1000)*I6/12+((Main_Start*1/3)*'Project Assumptions'!$L$15*((1+Main_Escal)^('Book Income Statement'!I4-'Project Assumptions'!$N$6))+Fuel_Start*'Project Assumptions'!$L$16)/1000*I7/12</f>
        <v>521.39510765716796</v>
      </c>
      <c r="J13" s="797">
        <f>IF(J3&gt;ProjectLife+1,0,(Main_Start*'Project Assumptions'!$L$15*((1+Main_Escal)^('Book Income Statement'!J4-'Project Assumptions'!$N$6))+Fuel_Start*'Project Assumptions'!$L$16)/1000)*J6/12+((Main_Start*1/3)*'Project Assumptions'!$L$15*((1+Main_Escal)^('Book Income Statement'!J4-'Project Assumptions'!$N$6))+Fuel_Start*'Project Assumptions'!$L$16)/1000*J7/12</f>
        <v>537.03696088688298</v>
      </c>
      <c r="K13" s="797">
        <f>IF(K3&gt;ProjectLife+1,0,(Main_Start*'Project Assumptions'!$L$15*((1+Main_Escal)^('Book Income Statement'!K4-'Project Assumptions'!$N$6))+Fuel_Start*'Project Assumptions'!$L$16)/1000)*K6/12+((Main_Start*1/3)*'Project Assumptions'!$L$15*((1+Main_Escal)^('Book Income Statement'!K4-'Project Assumptions'!$N$6))+Fuel_Start*'Project Assumptions'!$L$16)/1000*K7/12</f>
        <v>553.14806971348946</v>
      </c>
      <c r="L13" s="797">
        <f>IF(L3&gt;ProjectLife+1,0,(Main_Start*'Project Assumptions'!$L$15*((1+Main_Escal)^('Book Income Statement'!L4-'Project Assumptions'!$N$6))+Fuel_Start*'Project Assumptions'!$L$16)/1000)*L6/12+((Main_Start*1/3)*'Project Assumptions'!$L$15*((1+Main_Escal)^('Book Income Statement'!L4-'Project Assumptions'!$N$6))+Fuel_Start*'Project Assumptions'!$L$16)/1000*L7/12</f>
        <v>569.74251180489421</v>
      </c>
      <c r="M13" s="797">
        <f>IF(M3&gt;ProjectLife+1,0,(Main_Start*'Project Assumptions'!$L$15*((1+Main_Escal)^('Book Income Statement'!M4-'Project Assumptions'!$N$6))+Fuel_Start*'Project Assumptions'!$L$16)/1000)*M6/12+((Main_Start*1/3)*'Project Assumptions'!$L$15*((1+Main_Escal)^('Book Income Statement'!M4-'Project Assumptions'!$N$6))+Fuel_Start*'Project Assumptions'!$L$16)/1000*M7/12</f>
        <v>586.83478715904107</v>
      </c>
      <c r="N13" s="797">
        <f>IF(N3&gt;ProjectLife+1,0,(Main_Start*'Project Assumptions'!$L$15*((1+Main_Escal)^('Book Income Statement'!N4-'Project Assumptions'!$N$6))+Fuel_Start*'Project Assumptions'!$L$16)/1000)*N6/12+((Main_Start*1/3)*'Project Assumptions'!$L$15*((1+Main_Escal)^('Book Income Statement'!N4-'Project Assumptions'!$N$6))+Fuel_Start*'Project Assumptions'!$L$16)/1000*N7/12</f>
        <v>604.43983077381222</v>
      </c>
      <c r="O13" s="797">
        <f>IF(O3&gt;ProjectLife+1,0,(Main_Start*'Project Assumptions'!$L$15*((1+Main_Escal)^('Book Income Statement'!O4-'Project Assumptions'!$N$6))+Fuel_Start*'Project Assumptions'!$L$16)/1000)*O6/12+((Main_Start*1/3)*'Project Assumptions'!$L$15*((1+Main_Escal)^('Book Income Statement'!O4-'Project Assumptions'!$N$6))+Fuel_Start*'Project Assumptions'!$L$16)/1000*O7/12</f>
        <v>622.57302569702665</v>
      </c>
      <c r="P13" s="797">
        <f>IF(P3&gt;ProjectLife+1,0,(Main_Start*'Project Assumptions'!$L$15*((1+Main_Escal)^('Book Income Statement'!P4-'Project Assumptions'!$N$6))+Fuel_Start*'Project Assumptions'!$L$16)/1000)*P6/12+((Main_Start*1/3)*'Project Assumptions'!$L$15*((1+Main_Escal)^('Book Income Statement'!P4-'Project Assumptions'!$N$6))+Fuel_Start*'Project Assumptions'!$L$16)/1000*P7/12</f>
        <v>641.25021646793732</v>
      </c>
      <c r="Q13" s="797">
        <f>IF(Q3&gt;ProjectLife+1,0,(Main_Start*'Project Assumptions'!$L$15*((1+Main_Escal)^('Book Income Statement'!Q4-'Project Assumptions'!$N$6))+Fuel_Start*'Project Assumptions'!$L$16)/1000)*Q6/12+((Main_Start*1/3)*'Project Assumptions'!$L$15*((1+Main_Escal)^('Book Income Statement'!Q4-'Project Assumptions'!$N$6))+Fuel_Start*'Project Assumptions'!$L$16)/1000*Q7/12</f>
        <v>660.48772296197535</v>
      </c>
      <c r="R13" s="797">
        <f>IF(R3&gt;ProjectLife+1,0,(Main_Start*'Project Assumptions'!$L$15*((1+Main_Escal)^('Book Income Statement'!R4-'Project Assumptions'!$N$6))+Fuel_Start*'Project Assumptions'!$L$16)/1000)*R6/12+((Main_Start*1/3)*'Project Assumptions'!$L$15*((1+Main_Escal)^('Book Income Statement'!R4-'Project Assumptions'!$N$6))+Fuel_Start*'Project Assumptions'!$L$16)/1000*R7/12</f>
        <v>680.30235465083467</v>
      </c>
      <c r="S13" s="797">
        <f>IF(S3&gt;ProjectLife+1,0,(Main_Start*'Project Assumptions'!$L$15*((1+Main_Escal)^('Book Income Statement'!S4-'Project Assumptions'!$N$6))+Fuel_Start*'Project Assumptions'!$L$16)/1000)*S6/12+((Main_Start*1/3)*'Project Assumptions'!$L$15*((1+Main_Escal)^('Book Income Statement'!S4-'Project Assumptions'!$N$6))+Fuel_Start*'Project Assumptions'!$L$16)/1000*S7/12</f>
        <v>700.71142529035978</v>
      </c>
      <c r="T13" s="797">
        <f>IF(T3&gt;ProjectLife+1,0,(Main_Start*'Project Assumptions'!$L$15*((1+Main_Escal)^('Book Income Statement'!T4-'Project Assumptions'!$N$6))+Fuel_Start*'Project Assumptions'!$L$16)/1000)*T6/12+((Main_Start*1/3)*'Project Assumptions'!$L$15*((1+Main_Escal)^('Book Income Statement'!T4-'Project Assumptions'!$N$6))+Fuel_Start*'Project Assumptions'!$L$16)/1000*T7/12</f>
        <v>721.73276804907039</v>
      </c>
      <c r="U13" s="797">
        <f>IF(U3&gt;ProjectLife+1,0,(Main_Start*'Project Assumptions'!$L$15*((1+Main_Escal)^('Book Income Statement'!U4-'Project Assumptions'!$N$6))+Fuel_Start*'Project Assumptions'!$L$16)/1000)*U6/12+((Main_Start*1/3)*'Project Assumptions'!$L$15*((1+Main_Escal)^('Book Income Statement'!U4-'Project Assumptions'!$N$6))+Fuel_Start*'Project Assumptions'!$L$16)/1000*U7/12</f>
        <v>743.38475109054264</v>
      </c>
      <c r="V13" s="797">
        <f>IF(V3&gt;ProjectLife+1,0,(Main_Start*'Project Assumptions'!$L$15*((1+Main_Escal)^('Book Income Statement'!V4-'Project Assumptions'!$N$6))+Fuel_Start*'Project Assumptions'!$L$16)/1000)*V6/12+((Main_Start*1/3)*'Project Assumptions'!$L$15*((1+Main_Escal)^('Book Income Statement'!V4-'Project Assumptions'!$N$6))+Fuel_Start*'Project Assumptions'!$L$16)/1000*V7/12</f>
        <v>765.68629362325885</v>
      </c>
      <c r="W13" s="797">
        <f>IF(W3&gt;ProjectLife+1,0,(Main_Start*'Project Assumptions'!$L$15*((1+Main_Escal)^('Book Income Statement'!W4-'Project Assumptions'!$N$6))+Fuel_Start*'Project Assumptions'!$L$16)/1000)*W6/12+((Main_Start*1/3)*'Project Assumptions'!$L$15*((1+Main_Escal)^('Book Income Statement'!W4-'Project Assumptions'!$N$6))+Fuel_Start*'Project Assumptions'!$L$16)/1000*W7/12</f>
        <v>788.65688243195655</v>
      </c>
      <c r="X13" s="798">
        <f>IF(X3&gt;ProjectLife+1,0,(Main_Start*'Project Assumptions'!$L$15*((1+Main_Escal)^('Book Income Statement'!X4-'Project Assumptions'!$N$6))+Fuel_Start*'Project Assumptions'!$L$16)/1000)*X6/12+((Main_Start*1/3)*'Project Assumptions'!$L$15*((1+Main_Escal)^('Book Income Statement'!X4-'Project Assumptions'!$N$6))+Fuel_Start*'Project Assumptions'!$L$16)/1000</f>
        <v>812.31658890491531</v>
      </c>
    </row>
    <row r="14" spans="1:53" ht="12.6" customHeight="1">
      <c r="B14" s="652" t="s">
        <v>667</v>
      </c>
      <c r="C14" s="646"/>
      <c r="D14" s="799">
        <f>Operations!C20*AnnualHours*(Energy_Margin)/1000*D7/12</f>
        <v>0</v>
      </c>
      <c r="E14" s="799">
        <f>Operations!D20*AnnualHours*(Energy_Margin)/1000*E7/12</f>
        <v>0</v>
      </c>
      <c r="F14" s="799">
        <f>Operations!E20*AnnualHours*(Energy_Margin)/1000*F7/12</f>
        <v>0</v>
      </c>
      <c r="G14" s="799">
        <f>Operations!F20*AnnualHours*(Energy_Margin)/1000*G7/12</f>
        <v>0</v>
      </c>
      <c r="H14" s="799">
        <f>Operations!G20*AnnualHours*(Energy_Margin)/1000*H7/12</f>
        <v>4.0304786666666672</v>
      </c>
      <c r="I14" s="799">
        <f>Operations!H20*AnnualHours*(Energy_Margin)/1000*I7/12</f>
        <v>11.844672000000001</v>
      </c>
      <c r="J14" s="799">
        <f>Operations!I20*AnnualHours*(Energy_Margin)/1000*J7/12</f>
        <v>11.844672000000001</v>
      </c>
      <c r="K14" s="799">
        <f>Operations!J20*AnnualHours*(Energy_Margin)/1000*K7/12</f>
        <v>11.844672000000001</v>
      </c>
      <c r="L14" s="799">
        <f>Operations!K20*AnnualHours*(Energy_Margin)/1000*L7/12</f>
        <v>11.844672000000001</v>
      </c>
      <c r="M14" s="799">
        <f>Operations!L20*AnnualHours*(Energy_Margin)/1000*M7/12</f>
        <v>11.844672000000001</v>
      </c>
      <c r="N14" s="799">
        <f>Operations!M20*AnnualHours*(Energy_Margin)/1000*N7/12</f>
        <v>11.844672000000001</v>
      </c>
      <c r="O14" s="799">
        <f>Operations!N20*AnnualHours*(Energy_Margin)/1000*O7/12</f>
        <v>11.844672000000001</v>
      </c>
      <c r="P14" s="799">
        <f>Operations!O20*AnnualHours*(Energy_Margin)/1000*P7/12</f>
        <v>11.844672000000001</v>
      </c>
      <c r="Q14" s="799">
        <f>Operations!P20*AnnualHours*(Energy_Margin)/1000*Q7/12</f>
        <v>11.844672000000001</v>
      </c>
      <c r="R14" s="799">
        <f>Operations!Q20*AnnualHours*(Energy_Margin)/1000*R7/12</f>
        <v>11.844672000000001</v>
      </c>
      <c r="S14" s="799">
        <f>Operations!R20*AnnualHours*(Energy_Margin)/1000*S7/12</f>
        <v>11.844672000000001</v>
      </c>
      <c r="T14" s="799">
        <f>Operations!S20*AnnualHours*(Energy_Margin)/1000*T7/12</f>
        <v>11.844672000000001</v>
      </c>
      <c r="U14" s="799">
        <f>Operations!T20*AnnualHours*(Energy_Margin)/1000*U7/12</f>
        <v>11.844672000000001</v>
      </c>
      <c r="V14" s="799">
        <f>Operations!U20*AnnualHours*(Energy_Margin)/1000*V7/12</f>
        <v>11.844672000000001</v>
      </c>
      <c r="W14" s="799">
        <f>Operations!V20*AnnualHours*(Energy_Margin)/1000*W7/12</f>
        <v>11.844672000000001</v>
      </c>
      <c r="X14" s="800">
        <f>Operations!W20*AnnualHours*(Energy_Margin)/1000*X7/12</f>
        <v>11.844672000000001</v>
      </c>
      <c r="Y14" s="94"/>
      <c r="Z14" s="94"/>
      <c r="AA14" s="94"/>
      <c r="AB14" s="94"/>
    </row>
    <row r="15" spans="1:53" ht="12.6" customHeight="1">
      <c r="B15" s="652" t="s">
        <v>112</v>
      </c>
      <c r="C15" s="646"/>
      <c r="D15" s="867">
        <f>'PPA Assumptions &amp; Summary'!C16</f>
        <v>0</v>
      </c>
      <c r="E15" s="867">
        <f>'PPA Assumptions &amp; Summary'!D16</f>
        <v>0</v>
      </c>
      <c r="F15" s="867">
        <f>'PPA Assumptions &amp; Summary'!E16</f>
        <v>0</v>
      </c>
      <c r="G15" s="867">
        <f>'PPA Assumptions &amp; Summary'!F16</f>
        <v>0</v>
      </c>
      <c r="H15" s="867">
        <f>'PPA Assumptions &amp; Summary'!G16</f>
        <v>0</v>
      </c>
      <c r="I15" s="867">
        <f>'PPA Assumptions &amp; Summary'!H16</f>
        <v>0</v>
      </c>
      <c r="J15" s="867">
        <f>'PPA Assumptions &amp; Summary'!I16</f>
        <v>0</v>
      </c>
      <c r="K15" s="867">
        <f>'PPA Assumptions &amp; Summary'!J16</f>
        <v>0</v>
      </c>
      <c r="L15" s="867">
        <f>'PPA Assumptions &amp; Summary'!K16</f>
        <v>0</v>
      </c>
      <c r="M15" s="867">
        <f>'PPA Assumptions &amp; Summary'!L16</f>
        <v>0</v>
      </c>
      <c r="N15" s="867">
        <f>'PPA Assumptions &amp; Summary'!M16</f>
        <v>0</v>
      </c>
      <c r="O15" s="867">
        <f>'PPA Assumptions &amp; Summary'!N16</f>
        <v>0</v>
      </c>
      <c r="P15" s="867">
        <f>'PPA Assumptions &amp; Summary'!O16</f>
        <v>0</v>
      </c>
      <c r="Q15" s="867">
        <f>'PPA Assumptions &amp; Summary'!P16</f>
        <v>0</v>
      </c>
      <c r="R15" s="867">
        <f>'PPA Assumptions &amp; Summary'!Q16</f>
        <v>0</v>
      </c>
      <c r="S15" s="867">
        <f>'PPA Assumptions &amp; Summary'!R16</f>
        <v>0</v>
      </c>
      <c r="T15" s="867">
        <f>'PPA Assumptions &amp; Summary'!S16</f>
        <v>0</v>
      </c>
      <c r="U15" s="867">
        <f>'PPA Assumptions &amp; Summary'!T16</f>
        <v>0</v>
      </c>
      <c r="V15" s="867">
        <f>'PPA Assumptions &amp; Summary'!U16</f>
        <v>0</v>
      </c>
      <c r="W15" s="867">
        <f>'PPA Assumptions &amp; Summary'!V16</f>
        <v>0</v>
      </c>
      <c r="X15" s="868">
        <f>'PPA Assumptions &amp; Summary'!W16</f>
        <v>0</v>
      </c>
      <c r="Y15" s="5"/>
      <c r="Z15" s="5"/>
      <c r="AA15" s="5"/>
      <c r="AB15" s="5"/>
    </row>
    <row r="16" spans="1:53" ht="12.6" customHeight="1">
      <c r="B16" s="652" t="s">
        <v>142</v>
      </c>
      <c r="C16" s="646"/>
      <c r="D16" s="869">
        <f>'PPA Assumptions &amp; Summary'!C17</f>
        <v>0</v>
      </c>
      <c r="E16" s="869">
        <f>'PPA Assumptions &amp; Summary'!D17</f>
        <v>0</v>
      </c>
      <c r="F16" s="869">
        <f>'PPA Assumptions &amp; Summary'!E17</f>
        <v>0</v>
      </c>
      <c r="G16" s="869">
        <f>'PPA Assumptions &amp; Summary'!F17</f>
        <v>0</v>
      </c>
      <c r="H16" s="869">
        <f>'PPA Assumptions &amp; Summary'!G17</f>
        <v>0</v>
      </c>
      <c r="I16" s="869">
        <f>'PPA Assumptions &amp; Summary'!H17</f>
        <v>0</v>
      </c>
      <c r="J16" s="869">
        <f>'PPA Assumptions &amp; Summary'!I17</f>
        <v>0</v>
      </c>
      <c r="K16" s="869">
        <f>'PPA Assumptions &amp; Summary'!J17</f>
        <v>0</v>
      </c>
      <c r="L16" s="869">
        <f>'PPA Assumptions &amp; Summary'!K17</f>
        <v>0</v>
      </c>
      <c r="M16" s="869">
        <f>'PPA Assumptions &amp; Summary'!L17</f>
        <v>0</v>
      </c>
      <c r="N16" s="869">
        <f>'PPA Assumptions &amp; Summary'!M17</f>
        <v>0</v>
      </c>
      <c r="O16" s="869">
        <f>'PPA Assumptions &amp; Summary'!N17</f>
        <v>0</v>
      </c>
      <c r="P16" s="869">
        <f>'PPA Assumptions &amp; Summary'!O17</f>
        <v>0</v>
      </c>
      <c r="Q16" s="869">
        <f>'PPA Assumptions &amp; Summary'!P17</f>
        <v>0</v>
      </c>
      <c r="R16" s="869">
        <f>'PPA Assumptions &amp; Summary'!Q17</f>
        <v>0</v>
      </c>
      <c r="S16" s="869">
        <f>'PPA Assumptions &amp; Summary'!R17</f>
        <v>0</v>
      </c>
      <c r="T16" s="869">
        <f>'PPA Assumptions &amp; Summary'!S17</f>
        <v>0</v>
      </c>
      <c r="U16" s="869">
        <f>'PPA Assumptions &amp; Summary'!T17</f>
        <v>0</v>
      </c>
      <c r="V16" s="869">
        <f>'PPA Assumptions &amp; Summary'!U17</f>
        <v>0</v>
      </c>
      <c r="W16" s="869">
        <f>'PPA Assumptions &amp; Summary'!V17</f>
        <v>0</v>
      </c>
      <c r="X16" s="870">
        <f>'PPA Assumptions &amp; Summary'!W17</f>
        <v>0</v>
      </c>
      <c r="Y16" s="5"/>
      <c r="Z16" s="5"/>
      <c r="AA16" s="5"/>
      <c r="AB16" s="5"/>
    </row>
    <row r="17" spans="1:28" ht="12.6" customHeight="1">
      <c r="B17" s="871" t="s">
        <v>76</v>
      </c>
      <c r="C17" s="835"/>
      <c r="D17" s="872">
        <f t="shared" ref="D17:X17" si="3">SUM(D10:D16)</f>
        <v>26898.216959999994</v>
      </c>
      <c r="E17" s="872">
        <f t="shared" si="3"/>
        <v>40079.915814977372</v>
      </c>
      <c r="F17" s="872">
        <f t="shared" si="3"/>
        <v>40673.161342217194</v>
      </c>
      <c r="G17" s="872">
        <f t="shared" si="3"/>
        <v>40731.64097768371</v>
      </c>
      <c r="H17" s="872">
        <f t="shared" si="3"/>
        <v>47605.84011425489</v>
      </c>
      <c r="I17" s="872">
        <f t="shared" si="3"/>
        <v>52769.765885234337</v>
      </c>
      <c r="J17" s="872">
        <f t="shared" si="3"/>
        <v>53213.775120657876</v>
      </c>
      <c r="K17" s="872">
        <f t="shared" si="3"/>
        <v>53653.259503785877</v>
      </c>
      <c r="L17" s="872">
        <f t="shared" si="3"/>
        <v>54718.611193040255</v>
      </c>
      <c r="M17" s="872">
        <f t="shared" si="3"/>
        <v>55165.928277364612</v>
      </c>
      <c r="N17" s="872">
        <f t="shared" si="3"/>
        <v>56276.660029826366</v>
      </c>
      <c r="O17" s="872">
        <f t="shared" si="3"/>
        <v>56731.133874277803</v>
      </c>
      <c r="P17" s="872">
        <f t="shared" si="3"/>
        <v>57888.82179464693</v>
      </c>
      <c r="Q17" s="872">
        <f t="shared" si="3"/>
        <v>58349.665078533413</v>
      </c>
      <c r="R17" s="872">
        <f t="shared" si="3"/>
        <v>58802.386402713681</v>
      </c>
      <c r="S17" s="872">
        <f t="shared" si="3"/>
        <v>59246.083690649852</v>
      </c>
      <c r="T17" s="872">
        <f t="shared" si="3"/>
        <v>59679.808050975516</v>
      </c>
      <c r="U17" s="872">
        <f t="shared" si="3"/>
        <v>60102.561780474927</v>
      </c>
      <c r="V17" s="872">
        <f t="shared" si="3"/>
        <v>60513.296289374215</v>
      </c>
      <c r="W17" s="872">
        <f t="shared" si="3"/>
        <v>60910.909946080785</v>
      </c>
      <c r="X17" s="873">
        <f t="shared" si="3"/>
        <v>61294.245838405084</v>
      </c>
      <c r="Y17" s="94"/>
      <c r="Z17" s="94"/>
      <c r="AA17" s="94"/>
      <c r="AB17" s="94"/>
    </row>
    <row r="18" spans="1:28" ht="12.6" customHeight="1" thickBot="1">
      <c r="B18" s="874"/>
      <c r="C18" s="875"/>
      <c r="D18" s="876"/>
      <c r="E18" s="876"/>
      <c r="F18" s="876"/>
      <c r="G18" s="876"/>
      <c r="H18" s="876"/>
      <c r="I18" s="876"/>
      <c r="J18" s="876"/>
      <c r="K18" s="876"/>
      <c r="L18" s="876"/>
      <c r="M18" s="876"/>
      <c r="N18" s="876"/>
      <c r="O18" s="876"/>
      <c r="P18" s="876"/>
      <c r="Q18" s="876"/>
      <c r="R18" s="876"/>
      <c r="S18" s="876"/>
      <c r="T18" s="876"/>
      <c r="U18" s="876"/>
      <c r="V18" s="876"/>
      <c r="W18" s="876"/>
      <c r="X18" s="876"/>
      <c r="Y18" s="94"/>
      <c r="Z18" s="94"/>
      <c r="AA18" s="94"/>
      <c r="AB18" s="94"/>
    </row>
    <row r="19" spans="1:28" ht="12.6" customHeight="1">
      <c r="B19" s="398"/>
      <c r="C19" s="184" t="s">
        <v>138</v>
      </c>
      <c r="D19" s="400"/>
      <c r="E19" s="400"/>
      <c r="F19" s="400"/>
      <c r="G19" s="400"/>
      <c r="H19" s="400"/>
      <c r="I19" s="400"/>
      <c r="J19" s="400"/>
      <c r="K19" s="400"/>
      <c r="L19" s="400"/>
      <c r="M19" s="400"/>
      <c r="N19" s="400"/>
      <c r="O19" s="400"/>
      <c r="P19" s="400"/>
      <c r="Q19" s="400"/>
      <c r="R19" s="400"/>
      <c r="S19" s="400"/>
      <c r="T19" s="400"/>
      <c r="U19" s="400"/>
      <c r="V19" s="400"/>
      <c r="W19" s="400"/>
      <c r="X19" s="400"/>
      <c r="Y19" s="108"/>
      <c r="Z19" s="108"/>
      <c r="AA19" s="108"/>
      <c r="AB19" s="108"/>
    </row>
    <row r="20" spans="1:28" ht="12.6" customHeight="1">
      <c r="B20" s="863" t="s">
        <v>562</v>
      </c>
      <c r="C20" s="642"/>
      <c r="D20" s="877"/>
      <c r="E20" s="877"/>
      <c r="F20" s="877"/>
      <c r="G20" s="877"/>
      <c r="H20" s="877"/>
      <c r="I20" s="877"/>
      <c r="J20" s="877"/>
      <c r="K20" s="877"/>
      <c r="L20" s="877"/>
      <c r="M20" s="877"/>
      <c r="N20" s="877"/>
      <c r="O20" s="877"/>
      <c r="P20" s="877"/>
      <c r="Q20" s="877"/>
      <c r="R20" s="877"/>
      <c r="S20" s="877"/>
      <c r="T20" s="877"/>
      <c r="U20" s="877"/>
      <c r="V20" s="877"/>
      <c r="W20" s="877"/>
      <c r="X20" s="878"/>
      <c r="Y20" s="5"/>
      <c r="Z20" s="5"/>
      <c r="AA20" s="5"/>
      <c r="AB20" s="5"/>
    </row>
    <row r="21" spans="1:28" ht="12.6" customHeight="1">
      <c r="B21" s="881"/>
      <c r="C21" s="646"/>
      <c r="D21" s="799"/>
      <c r="E21" s="799"/>
      <c r="F21" s="799"/>
      <c r="G21" s="799"/>
      <c r="H21" s="799"/>
      <c r="I21" s="799"/>
      <c r="J21" s="799"/>
      <c r="K21" s="799"/>
      <c r="L21" s="799"/>
      <c r="M21" s="799"/>
      <c r="N21" s="799"/>
      <c r="O21" s="799"/>
      <c r="P21" s="799"/>
      <c r="Q21" s="799"/>
      <c r="R21" s="799"/>
      <c r="S21" s="799"/>
      <c r="T21" s="799"/>
      <c r="U21" s="799"/>
      <c r="V21" s="799"/>
      <c r="W21" s="799"/>
      <c r="X21" s="800"/>
      <c r="Y21" s="5"/>
      <c r="Z21" s="5"/>
      <c r="AA21" s="5"/>
      <c r="AB21" s="5"/>
    </row>
    <row r="22" spans="1:28" ht="12.6" customHeight="1">
      <c r="B22" s="881" t="s">
        <v>564</v>
      </c>
      <c r="C22" s="646"/>
      <c r="D22" s="799"/>
      <c r="E22" s="799"/>
      <c r="F22" s="799"/>
      <c r="G22" s="799"/>
      <c r="H22" s="799"/>
      <c r="I22" s="799"/>
      <c r="J22" s="799"/>
      <c r="K22" s="799"/>
      <c r="L22" s="799"/>
      <c r="M22" s="799"/>
      <c r="N22" s="799"/>
      <c r="O22" s="799"/>
      <c r="P22" s="799"/>
      <c r="Q22" s="799"/>
      <c r="R22" s="799"/>
      <c r="S22" s="799"/>
      <c r="T22" s="799"/>
      <c r="U22" s="799"/>
      <c r="V22" s="799"/>
      <c r="W22" s="799"/>
      <c r="X22" s="800"/>
      <c r="Y22" s="5"/>
      <c r="Z22" s="5"/>
      <c r="AA22" s="5"/>
      <c r="AB22" s="5"/>
    </row>
    <row r="23" spans="1:28" ht="12.6" customHeight="1">
      <c r="B23" s="652" t="s">
        <v>355</v>
      </c>
      <c r="C23" s="646"/>
      <c r="D23" s="797">
        <f>IF(D3&gt;ProjectLife,0,Operations!C36)</f>
        <v>16236.816959999998</v>
      </c>
      <c r="E23" s="797">
        <f>IF(E3&gt;ProjectLife,0,Operations!D36)</f>
        <v>16558.247159999995</v>
      </c>
      <c r="F23" s="797">
        <f>IF(F3&gt;ProjectLife,0,Operations!E36)</f>
        <v>16787.84016</v>
      </c>
      <c r="G23" s="797">
        <f>IF(G3&gt;ProjectLife,0,Operations!F36)</f>
        <v>16787.84016</v>
      </c>
      <c r="H23" s="797">
        <f>IF(H3&gt;ProjectLife,0,Operations!G36)</f>
        <v>17658.717429565331</v>
      </c>
      <c r="I23" s="797">
        <f>IF(I3&gt;ProjectLife,0,Operations!H36)</f>
        <v>18129.691856639995</v>
      </c>
      <c r="J23" s="797">
        <f>IF(J3&gt;ProjectLife,0,Operations!I36)</f>
        <v>18129.691856639995</v>
      </c>
      <c r="K23" s="797">
        <f>IF(K3&gt;ProjectLife,0,Operations!J36)</f>
        <v>18129.691856639995</v>
      </c>
      <c r="L23" s="797">
        <f>IF(L3&gt;ProjectLife,0,Operations!K36)</f>
        <v>18129.691856639995</v>
      </c>
      <c r="M23" s="797">
        <f>IF(M3&gt;ProjectLife,0,Operations!L36)</f>
        <v>18129.691856639995</v>
      </c>
      <c r="N23" s="797">
        <f>IF(N3&gt;ProjectLife,0,Operations!M36)</f>
        <v>18129.691856639995</v>
      </c>
      <c r="O23" s="797">
        <f>IF(O3&gt;ProjectLife,0,Operations!N36)</f>
        <v>18129.691856639995</v>
      </c>
      <c r="P23" s="797">
        <f>IF(P3&gt;ProjectLife,0,Operations!O36)</f>
        <v>18129.691856639995</v>
      </c>
      <c r="Q23" s="797">
        <f>IF(Q3&gt;ProjectLife,0,Operations!P36)</f>
        <v>18129.691856639995</v>
      </c>
      <c r="R23" s="797">
        <f>IF(R3&gt;ProjectLife,0,Operations!Q36)</f>
        <v>18129.691856639995</v>
      </c>
      <c r="S23" s="797">
        <f>IF(S3&gt;ProjectLife,0,Operations!R36)</f>
        <v>18129.691856639995</v>
      </c>
      <c r="T23" s="797">
        <f>IF(T3&gt;ProjectLife,0,Operations!S36)</f>
        <v>18129.691856639995</v>
      </c>
      <c r="U23" s="797">
        <f>IF(U3&gt;ProjectLife,0,Operations!T36)</f>
        <v>18129.691856639995</v>
      </c>
      <c r="V23" s="797">
        <f>IF(V3&gt;ProjectLife,0,Operations!U36)</f>
        <v>18129.691856639995</v>
      </c>
      <c r="W23" s="797">
        <f>IF(W3&gt;ProjectLife,0,Operations!V36)</f>
        <v>18129.691856639995</v>
      </c>
      <c r="X23" s="798">
        <f>IF(X3&gt;ProjectLife+1,0,Operations!W36)</f>
        <v>18129.691856639995</v>
      </c>
      <c r="Y23" s="94"/>
      <c r="Z23" s="94"/>
      <c r="AA23" s="94"/>
      <c r="AB23" s="94"/>
    </row>
    <row r="24" spans="1:28" ht="12.6" customHeight="1">
      <c r="B24" s="652"/>
      <c r="C24" s="646"/>
      <c r="D24" s="797"/>
      <c r="E24" s="797"/>
      <c r="F24" s="797"/>
      <c r="G24" s="797"/>
      <c r="H24" s="797"/>
      <c r="I24" s="797"/>
      <c r="J24" s="797"/>
      <c r="K24" s="797"/>
      <c r="L24" s="797"/>
      <c r="M24" s="797"/>
      <c r="N24" s="797"/>
      <c r="O24" s="797"/>
      <c r="P24" s="797"/>
      <c r="Q24" s="797"/>
      <c r="R24" s="797"/>
      <c r="S24" s="797"/>
      <c r="T24" s="797"/>
      <c r="U24" s="797"/>
      <c r="V24" s="797"/>
      <c r="W24" s="797"/>
      <c r="X24" s="798"/>
      <c r="Y24" s="94"/>
      <c r="Z24" s="94"/>
      <c r="AA24" s="94"/>
      <c r="AB24" s="94"/>
    </row>
    <row r="25" spans="1:28" ht="12.6" customHeight="1">
      <c r="A25" s="184">
        <v>3</v>
      </c>
      <c r="B25" s="517" t="s">
        <v>458</v>
      </c>
      <c r="C25" s="646"/>
      <c r="D25" s="797">
        <f>IF(D3&gt;ProjectLife+1,0,(Operations!C12+Operations!C22)*WaterMWh*((1+OM_Escal)^(D4-'Project Assumptions'!$N$6))/1000)</f>
        <v>44.999999999999993</v>
      </c>
      <c r="E25" s="797">
        <f>IF(E3&gt;ProjectLife+1,0,(Operations!D12+Operations!D22)*WaterMWh*((1+OM_Escal)^(E4-'Project Assumptions'!$N$6))/1000)</f>
        <v>47.267562217194566</v>
      </c>
      <c r="F25" s="797">
        <f>IF(F3&gt;ProjectLife+1,0,(Operations!E12+Operations!E22)*WaterMWh*((1+OM_Escal)^(F4-'Project Assumptions'!$N$6))/1000)</f>
        <v>49.360652714932115</v>
      </c>
      <c r="G25" s="797">
        <f>IF(G3&gt;ProjectLife+1,0,(Operations!F12+Operations!F22)*WaterMWh*((1+OM_Escal)^(G4-'Project Assumptions'!$N$6))/1000)</f>
        <v>50.841472296380083</v>
      </c>
      <c r="H25" s="797">
        <f>IF(H3&gt;ProjectLife+1,0,(Operations!G12+Operations!G22)*WaterMWh*((1+OM_Escal)^(H4-'Project Assumptions'!$N$6))/1000)</f>
        <v>55.083265027607666</v>
      </c>
      <c r="I25" s="797">
        <f>IF(I3&gt;ProjectLife+1,0,(Operations!H12+Operations!H22)*WaterMWh*((1+OM_Escal)^(I4-'Project Assumptions'!$N$6))/1000)</f>
        <v>58.248958575454438</v>
      </c>
      <c r="J25" s="797">
        <f>IF(J3&gt;ProjectLife+1,0,(Operations!I12+Operations!I22)*WaterMWh*((1+OM_Escal)^(J4-'Project Assumptions'!$N$6))/1000)</f>
        <v>59.996427332718071</v>
      </c>
      <c r="K25" s="797">
        <f>IF(K3&gt;ProjectLife+1,0,(Operations!J12+Operations!J22)*WaterMWh*((1+OM_Escal)^(K4-'Project Assumptions'!$N$6))/1000)</f>
        <v>61.796320152699622</v>
      </c>
      <c r="L25" s="797">
        <f>IF(L3&gt;ProjectLife+1,0,(Operations!K12+Operations!K22)*WaterMWh*((1+OM_Escal)^(L4-'Project Assumptions'!$N$6))/1000)</f>
        <v>63.650209757280599</v>
      </c>
      <c r="M25" s="797">
        <f>IF(M3&gt;ProjectLife+1,0,(Operations!L12+Operations!L22)*WaterMWh*((1+OM_Escal)^(M4-'Project Assumptions'!$N$6))/1000)</f>
        <v>65.559716049999025</v>
      </c>
      <c r="N25" s="797">
        <f>IF(N3&gt;ProjectLife+1,0,(Operations!M12+Operations!M22)*WaterMWh*((1+OM_Escal)^(N4-'Project Assumptions'!$N$6))/1000)</f>
        <v>67.526507531498993</v>
      </c>
      <c r="O25" s="797">
        <f>IF(O3&gt;ProjectLife+1,0,(Operations!N12+Operations!N22)*WaterMWh*((1+OM_Escal)^(O4-'Project Assumptions'!$N$6))/1000)</f>
        <v>69.552302757443968</v>
      </c>
      <c r="P25" s="797">
        <f>IF(P3&gt;ProjectLife+1,0,(Operations!O12+Operations!O22)*WaterMWh*((1+OM_Escal)^(P4-'Project Assumptions'!$N$6))/1000)</f>
        <v>71.638871840167269</v>
      </c>
      <c r="Q25" s="797">
        <f>IF(Q3&gt;ProjectLife+1,0,(Operations!P12+Operations!P22)*WaterMWh*((1+OM_Escal)^(Q4-'Project Assumptions'!$N$6))/1000)</f>
        <v>73.788037995372292</v>
      </c>
      <c r="R25" s="797">
        <f>IF(R3&gt;ProjectLife+1,0,(Operations!Q12+Operations!Q22)*WaterMWh*((1+OM_Escal)^(R4-'Project Assumptions'!$N$6))/1000)</f>
        <v>76.001679135233474</v>
      </c>
      <c r="S25" s="797">
        <f>IF(S3&gt;ProjectLife+1,0,(Operations!R12+Operations!R22)*WaterMWh*((1+OM_Escal)^(S4-'Project Assumptions'!$N$6))/1000)</f>
        <v>78.281729509290471</v>
      </c>
      <c r="T25" s="797">
        <f>IF(T3&gt;ProjectLife+1,0,(Operations!S12+Operations!S22)*WaterMWh*((1+OM_Escal)^(T4-'Project Assumptions'!$N$6))/1000)</f>
        <v>80.630181394569163</v>
      </c>
      <c r="U25" s="797">
        <f>IF(U3&gt;ProjectLife+1,0,(Operations!T12+Operations!T22)*WaterMWh*((1+OM_Escal)^(U4-'Project Assumptions'!$N$6))/1000)</f>
        <v>83.049086836406246</v>
      </c>
      <c r="V25" s="797">
        <f>IF(V3&gt;ProjectLife+1,0,(Operations!U12+Operations!U22)*WaterMWh*((1+OM_Escal)^(V4-'Project Assumptions'!$N$6))/1000)</f>
        <v>85.540559441498431</v>
      </c>
      <c r="W25" s="797">
        <f>IF(W3&gt;ProjectLife+1,0,(Operations!V12+Operations!V22)*WaterMWh*((1+OM_Escal)^(W4-'Project Assumptions'!$N$6))/1000)</f>
        <v>88.106776224743385</v>
      </c>
      <c r="X25" s="798">
        <f>IF(X3&gt;ProjectLife+1,0,(Operations!W12+Operations!W22)*WaterMWh*((1+OM_Escal)^(X4-'Project Assumptions'!$N$6))/1000)</f>
        <v>90.749979511485677</v>
      </c>
      <c r="Y25" s="94"/>
      <c r="Z25" s="94"/>
      <c r="AA25" s="94"/>
      <c r="AB25" s="94"/>
    </row>
    <row r="26" spans="1:28" ht="12.6" customHeight="1">
      <c r="A26" s="184">
        <v>3</v>
      </c>
      <c r="B26" s="517" t="s">
        <v>459</v>
      </c>
      <c r="C26" s="646"/>
      <c r="D26" s="797">
        <f>IF(D3&gt;ProjectLife+1,0,(Operations!C12+Operations!C22)*FercMWh*((1+OM_Escal)^(D4-'Project Assumptions'!$N$6))/1000)</f>
        <v>26.52</v>
      </c>
      <c r="E26" s="797">
        <f>IF(E3&gt;ProjectLife+1,0,(Operations!D12+Operations!D22)*FercMWh*((1+OM_Escal)^(E4-'Project Assumptions'!$N$6))/1000)</f>
        <v>27.856350000000003</v>
      </c>
      <c r="F26" s="797">
        <f>IF(F3&gt;ProjectLife+1,0,(Operations!E12+Operations!E22)*FercMWh*((1+OM_Escal)^(F4-'Project Assumptions'!$N$6))/1000)</f>
        <v>29.089877999999995</v>
      </c>
      <c r="G26" s="797">
        <f>IF(G3&gt;ProjectLife+1,0,(Operations!F12+Operations!F22)*FercMWh*((1+OM_Escal)^(G4-'Project Assumptions'!$N$6))/1000)</f>
        <v>29.96257434</v>
      </c>
      <c r="H26" s="797">
        <f>IF(H3&gt;ProjectLife+1,0,(Operations!G12+Operations!G22)*FercMWh*((1+OM_Escal)^(H4-'Project Assumptions'!$N$6))/1000)</f>
        <v>32.462404189603454</v>
      </c>
      <c r="I26" s="797">
        <f>IF(I3&gt;ProjectLife+1,0,(Operations!H12+Operations!H22)*FercMWh*((1+OM_Escal)^(I4-'Project Assumptions'!$N$6))/1000)</f>
        <v>34.328052920467819</v>
      </c>
      <c r="J26" s="797">
        <f>IF(J3&gt;ProjectLife+1,0,(Operations!I12+Operations!I22)*FercMWh*((1+OM_Escal)^(J4-'Project Assumptions'!$N$6))/1000)</f>
        <v>35.357894508081863</v>
      </c>
      <c r="K26" s="797">
        <f>IF(K3&gt;ProjectLife+1,0,(Operations!J12+Operations!J22)*FercMWh*((1+OM_Escal)^(K4-'Project Assumptions'!$N$6))/1000)</f>
        <v>36.418631343324314</v>
      </c>
      <c r="L26" s="797">
        <f>IF(L3&gt;ProjectLife+1,0,(Operations!K12+Operations!K22)*FercMWh*((1+OM_Escal)^(L4-'Project Assumptions'!$N$6))/1000)</f>
        <v>37.511190283624039</v>
      </c>
      <c r="M26" s="797">
        <f>IF(M3&gt;ProjectLife+1,0,(Operations!L12+Operations!L22)*FercMWh*((1+OM_Escal)^(M4-'Project Assumptions'!$N$6))/1000)</f>
        <v>38.636525992132761</v>
      </c>
      <c r="N26" s="797">
        <f>IF(N3&gt;ProjectLife+1,0,(Operations!M12+Operations!M22)*FercMWh*((1+OM_Escal)^(N4-'Project Assumptions'!$N$6))/1000)</f>
        <v>39.795621771896748</v>
      </c>
      <c r="O26" s="797">
        <f>IF(O3&gt;ProjectLife+1,0,(Operations!N12+Operations!N22)*FercMWh*((1+OM_Escal)^(O4-'Project Assumptions'!$N$6))/1000)</f>
        <v>40.989490425053653</v>
      </c>
      <c r="P26" s="797">
        <f>IF(P3&gt;ProjectLife+1,0,(Operations!O12+Operations!O22)*FercMWh*((1+OM_Escal)^(P4-'Project Assumptions'!$N$6))/1000)</f>
        <v>42.219175137805252</v>
      </c>
      <c r="Q26" s="797">
        <f>IF(Q3&gt;ProjectLife+1,0,(Operations!P12+Operations!P22)*FercMWh*((1+OM_Escal)^(Q4-'Project Assumptions'!$N$6))/1000)</f>
        <v>43.485750391939405</v>
      </c>
      <c r="R26" s="797">
        <f>IF(R3&gt;ProjectLife+1,0,(Operations!Q12+Operations!Q22)*FercMWh*((1+OM_Escal)^(R4-'Project Assumptions'!$N$6))/1000)</f>
        <v>44.7903229036976</v>
      </c>
      <c r="S26" s="797">
        <f>IF(S3&gt;ProjectLife+1,0,(Operations!R12+Operations!R22)*FercMWh*((1+OM_Escal)^(S4-'Project Assumptions'!$N$6))/1000)</f>
        <v>46.134032590808523</v>
      </c>
      <c r="T26" s="797">
        <f>IF(T3&gt;ProjectLife+1,0,(Operations!S12+Operations!S22)*FercMWh*((1+OM_Escal)^(T4-'Project Assumptions'!$N$6))/1000)</f>
        <v>47.518053568532771</v>
      </c>
      <c r="U26" s="797">
        <f>IF(U3&gt;ProjectLife+1,0,(Operations!T12+Operations!T22)*FercMWh*((1+OM_Escal)^(U4-'Project Assumptions'!$N$6))/1000)</f>
        <v>48.943595175588761</v>
      </c>
      <c r="V26" s="797">
        <f>IF(V3&gt;ProjectLife+1,0,(Operations!U12+Operations!U22)*FercMWh*((1+OM_Escal)^(V4-'Project Assumptions'!$N$6))/1000)</f>
        <v>50.411903030856415</v>
      </c>
      <c r="W26" s="797">
        <f>IF(W3&gt;ProjectLife+1,0,(Operations!V12+Operations!V22)*FercMWh*((1+OM_Escal)^(W4-'Project Assumptions'!$N$6))/1000)</f>
        <v>51.924260121782105</v>
      </c>
      <c r="X26" s="798">
        <f>IF(X3&gt;ProjectLife+1,0,(Operations!W12+Operations!W22)*FercMWh*((1+OM_Escal)^(X4-'Project Assumptions'!$N$6))/1000)</f>
        <v>53.481987925435568</v>
      </c>
      <c r="Y26" s="94"/>
      <c r="Z26" s="94"/>
      <c r="AA26" s="94"/>
      <c r="AB26" s="94"/>
    </row>
    <row r="27" spans="1:28" ht="12.6" customHeight="1">
      <c r="A27" s="184">
        <v>3</v>
      </c>
      <c r="B27" s="517" t="s">
        <v>460</v>
      </c>
      <c r="C27" s="646"/>
      <c r="D27" s="879">
        <f>IF(D3&gt;ProjectLife+1,0,(Operations!C12+Operations!C22)*MainMWh*((1+OM_Escal)^(D4-'Project Assumptions'!$N$6))/1000)</f>
        <v>400.60000000000008</v>
      </c>
      <c r="E27" s="879">
        <f>IF(E3&gt;ProjectLife+1,0,(Operations!D12+Operations!D22)*MainMWh*((1+OM_Escal)^(E4-'Project Assumptions'!$N$6))/1000)</f>
        <v>420.78634276018107</v>
      </c>
      <c r="F27" s="879">
        <f>IF(F3&gt;ProjectLife+1,0,(Operations!E12+Operations!E22)*MainMWh*((1+OM_Escal)^(F4-'Project Assumptions'!$N$6))/1000)</f>
        <v>439.41949950226245</v>
      </c>
      <c r="G27" s="879">
        <f>IF(G3&gt;ProjectLife+1,0,(Operations!F12+Operations!F22)*MainMWh*((1+OM_Escal)^(G4-'Project Assumptions'!$N$6))/1000)</f>
        <v>452.60208448733033</v>
      </c>
      <c r="H27" s="879">
        <f>IF(H3&gt;ProjectLife+1,0,(Operations!G12+Operations!G22)*MainMWh*((1+OM_Escal)^(H4-'Project Assumptions'!$N$6))/1000)</f>
        <v>490.36346600132521</v>
      </c>
      <c r="I27" s="879">
        <f>IF(I3&gt;ProjectLife+1,0,(Operations!H12+Operations!H22)*MainMWh*((1+OM_Escal)^(I4-'Project Assumptions'!$N$6))/1000)</f>
        <v>518.54517345171223</v>
      </c>
      <c r="J27" s="879">
        <f>IF(J3&gt;ProjectLife+1,0,(Operations!I12+Operations!I22)*MainMWh*((1+OM_Escal)^(J4-'Project Assumptions'!$N$6))/1000)</f>
        <v>534.10152865526368</v>
      </c>
      <c r="K27" s="879">
        <f>IF(K3&gt;ProjectLife+1,0,(Operations!J12+Operations!J22)*MainMWh*((1+OM_Escal)^(K4-'Project Assumptions'!$N$6))/1000)</f>
        <v>550.12457451492162</v>
      </c>
      <c r="L27" s="879">
        <f>IF(L3&gt;ProjectLife+1,0,(Operations!K12+Operations!K22)*MainMWh*((1+OM_Escal)^(L4-'Project Assumptions'!$N$6))/1000)</f>
        <v>566.62831175036911</v>
      </c>
      <c r="M27" s="879">
        <f>IF(M3&gt;ProjectLife+1,0,(Operations!L12+Operations!L22)*MainMWh*((1+OM_Escal)^(M4-'Project Assumptions'!$N$6))/1000)</f>
        <v>583.62716110288022</v>
      </c>
      <c r="N27" s="879">
        <f>IF(N3&gt;ProjectLife+1,0,(Operations!M12+Operations!M22)*MainMWh*((1+OM_Escal)^(N4-'Project Assumptions'!$N$6))/1000)</f>
        <v>601.13597593596671</v>
      </c>
      <c r="O27" s="879">
        <f>IF(O3&gt;ProjectLife+1,0,(Operations!N12+Operations!N22)*MainMWh*((1+OM_Escal)^(O4-'Project Assumptions'!$N$6))/1000)</f>
        <v>619.17005521404565</v>
      </c>
      <c r="P27" s="879">
        <f>IF(P3&gt;ProjectLife+1,0,(Operations!O12+Operations!O22)*MainMWh*((1+OM_Escal)^(P4-'Project Assumptions'!$N$6))/1000)</f>
        <v>637.74515687046699</v>
      </c>
      <c r="Q27" s="879">
        <f>IF(Q3&gt;ProjectLife+1,0,(Operations!P12+Operations!P22)*MainMWh*((1+OM_Escal)^(Q4-'Project Assumptions'!$N$6))/1000)</f>
        <v>656.8775115765809</v>
      </c>
      <c r="R27" s="879">
        <f>IF(R3&gt;ProjectLife+1,0,(Operations!Q12+Operations!Q22)*MainMWh*((1+OM_Escal)^(R4-'Project Assumptions'!$N$6))/1000)</f>
        <v>676.58383692387838</v>
      </c>
      <c r="S27" s="879">
        <f>IF(S3&gt;ProjectLife+1,0,(Operations!R12+Operations!R22)*MainMWh*((1+OM_Escal)^(S4-'Project Assumptions'!$N$6))/1000)</f>
        <v>696.88135203159482</v>
      </c>
      <c r="T27" s="879">
        <f>IF(T3&gt;ProjectLife+1,0,(Operations!S12+Operations!S22)*MainMWh*((1+OM_Escal)^(T4-'Project Assumptions'!$N$6))/1000)</f>
        <v>717.78779259254259</v>
      </c>
      <c r="U27" s="879">
        <f>IF(U3&gt;ProjectLife+1,0,(Operations!T12+Operations!T22)*MainMWh*((1+OM_Escal)^(U4-'Project Assumptions'!$N$6))/1000)</f>
        <v>739.32142637031882</v>
      </c>
      <c r="V27" s="879">
        <f>IF(V3&gt;ProjectLife+1,0,(Operations!U12+Operations!U22)*MainMWh*((1+OM_Escal)^(V4-'Project Assumptions'!$N$6))/1000)</f>
        <v>761.5010691614284</v>
      </c>
      <c r="W27" s="879">
        <f>IF(W3&gt;ProjectLife+1,0,(Operations!V12+Operations!V22)*MainMWh*((1+OM_Escal)^(W4-'Project Assumptions'!$N$6))/1000)</f>
        <v>784.34610123627124</v>
      </c>
      <c r="X27" s="880">
        <f>IF(X3&gt;ProjectLife+1,0,(Operations!W12+Operations!W22)*MainMWh*((1+OM_Escal)^(X4-'Project Assumptions'!$N$6))/1000)</f>
        <v>807.87648427335944</v>
      </c>
      <c r="Y27" s="94"/>
      <c r="Z27" s="94"/>
      <c r="AA27" s="94"/>
      <c r="AB27" s="94"/>
    </row>
    <row r="28" spans="1:28" ht="12.6" customHeight="1">
      <c r="B28" s="652" t="s">
        <v>461</v>
      </c>
      <c r="C28" s="646">
        <f>AVERAGE(D28:W28)</f>
        <v>698.17122218125132</v>
      </c>
      <c r="D28" s="1104">
        <f t="shared" ref="D28:X28" si="4">SUM(D25:D27)</f>
        <v>472.12000000000006</v>
      </c>
      <c r="E28" s="1104">
        <f t="shared" si="4"/>
        <v>495.91025497737564</v>
      </c>
      <c r="F28" s="1104">
        <f t="shared" si="4"/>
        <v>517.87003021719454</v>
      </c>
      <c r="G28" s="1104">
        <f t="shared" si="4"/>
        <v>533.40613112371045</v>
      </c>
      <c r="H28" s="1104">
        <f t="shared" si="4"/>
        <v>577.90913521853633</v>
      </c>
      <c r="I28" s="1104">
        <f t="shared" si="4"/>
        <v>611.12218494763442</v>
      </c>
      <c r="J28" s="1104">
        <f t="shared" si="4"/>
        <v>629.45585049606359</v>
      </c>
      <c r="K28" s="1104">
        <f t="shared" si="4"/>
        <v>648.33952601094552</v>
      </c>
      <c r="L28" s="1104">
        <f t="shared" si="4"/>
        <v>667.7897117912737</v>
      </c>
      <c r="M28" s="1104">
        <f t="shared" si="4"/>
        <v>687.82340314501198</v>
      </c>
      <c r="N28" s="1104">
        <f t="shared" si="4"/>
        <v>708.45810523936245</v>
      </c>
      <c r="O28" s="1104">
        <f t="shared" si="4"/>
        <v>729.71184839654325</v>
      </c>
      <c r="P28" s="1104">
        <f t="shared" si="4"/>
        <v>751.60320384843953</v>
      </c>
      <c r="Q28" s="1104">
        <f t="shared" si="4"/>
        <v>774.1512999638926</v>
      </c>
      <c r="R28" s="1104">
        <f t="shared" si="4"/>
        <v>797.37583896280944</v>
      </c>
      <c r="S28" s="1104">
        <f t="shared" si="4"/>
        <v>821.29711413169377</v>
      </c>
      <c r="T28" s="1104">
        <f t="shared" si="4"/>
        <v>845.9360275556445</v>
      </c>
      <c r="U28" s="1104">
        <f t="shared" si="4"/>
        <v>871.31410838231386</v>
      </c>
      <c r="V28" s="1104">
        <f t="shared" si="4"/>
        <v>897.45353163378331</v>
      </c>
      <c r="W28" s="1104">
        <f t="shared" si="4"/>
        <v>924.37713758279676</v>
      </c>
      <c r="X28" s="1105">
        <f t="shared" si="4"/>
        <v>952.10845171028063</v>
      </c>
      <c r="Y28" s="94"/>
      <c r="Z28" s="94"/>
      <c r="AA28" s="94"/>
      <c r="AB28" s="94"/>
    </row>
    <row r="29" spans="1:28" ht="12.6" customHeight="1">
      <c r="B29" s="881" t="s">
        <v>462</v>
      </c>
      <c r="C29" s="646"/>
      <c r="D29" s="1102">
        <f>D23+D28</f>
        <v>16708.936959999999</v>
      </c>
      <c r="E29" s="1102">
        <f t="shared" ref="E29:X29" si="5">E28+E23</f>
        <v>17054.15741497737</v>
      </c>
      <c r="F29" s="1102">
        <f t="shared" si="5"/>
        <v>17305.710190217193</v>
      </c>
      <c r="G29" s="1102">
        <f t="shared" si="5"/>
        <v>17321.246291123709</v>
      </c>
      <c r="H29" s="1102">
        <f t="shared" si="5"/>
        <v>18236.626564783866</v>
      </c>
      <c r="I29" s="1102">
        <f t="shared" si="5"/>
        <v>18740.81404158763</v>
      </c>
      <c r="J29" s="1102">
        <f t="shared" si="5"/>
        <v>18759.147707136057</v>
      </c>
      <c r="K29" s="1102">
        <f t="shared" si="5"/>
        <v>18778.031382650941</v>
      </c>
      <c r="L29" s="1102">
        <f t="shared" si="5"/>
        <v>18797.481568431267</v>
      </c>
      <c r="M29" s="1102">
        <f t="shared" si="5"/>
        <v>18817.515259785006</v>
      </c>
      <c r="N29" s="1102">
        <f t="shared" si="5"/>
        <v>18838.149961879357</v>
      </c>
      <c r="O29" s="1102">
        <f t="shared" si="5"/>
        <v>18859.403705036537</v>
      </c>
      <c r="P29" s="1102">
        <f t="shared" si="5"/>
        <v>18881.295060488435</v>
      </c>
      <c r="Q29" s="1102">
        <f t="shared" si="5"/>
        <v>18903.843156603885</v>
      </c>
      <c r="R29" s="1102">
        <f t="shared" si="5"/>
        <v>18927.067695602804</v>
      </c>
      <c r="S29" s="1102">
        <f t="shared" si="5"/>
        <v>18950.988970771687</v>
      </c>
      <c r="T29" s="1102">
        <f t="shared" si="5"/>
        <v>18975.627884195637</v>
      </c>
      <c r="U29" s="1102">
        <f t="shared" si="5"/>
        <v>19001.005965022308</v>
      </c>
      <c r="V29" s="1102">
        <f t="shared" si="5"/>
        <v>19027.145388273777</v>
      </c>
      <c r="W29" s="1102">
        <f t="shared" si="5"/>
        <v>19054.068994222791</v>
      </c>
      <c r="X29" s="1103">
        <f t="shared" si="5"/>
        <v>19081.800308350274</v>
      </c>
      <c r="Y29" s="94"/>
      <c r="Z29" s="94"/>
      <c r="AA29" s="94"/>
      <c r="AB29" s="94"/>
    </row>
    <row r="30" spans="1:28" ht="12.6" customHeight="1">
      <c r="B30" s="881"/>
      <c r="C30" s="646"/>
      <c r="D30" s="797"/>
      <c r="E30" s="797"/>
      <c r="F30" s="797"/>
      <c r="G30" s="797"/>
      <c r="H30" s="797"/>
      <c r="I30" s="797"/>
      <c r="J30" s="797"/>
      <c r="K30" s="797"/>
      <c r="L30" s="797"/>
      <c r="M30" s="797"/>
      <c r="N30" s="797"/>
      <c r="O30" s="797"/>
      <c r="P30" s="797"/>
      <c r="Q30" s="797"/>
      <c r="R30" s="797"/>
      <c r="S30" s="797"/>
      <c r="T30" s="797"/>
      <c r="U30" s="797"/>
      <c r="V30" s="797"/>
      <c r="W30" s="797"/>
      <c r="X30" s="798"/>
      <c r="Y30" s="94"/>
      <c r="Z30" s="94"/>
      <c r="AA30" s="94"/>
      <c r="AB30" s="94"/>
    </row>
    <row r="31" spans="1:28" ht="12.6" customHeight="1">
      <c r="B31" s="881" t="s">
        <v>563</v>
      </c>
      <c r="C31" s="646"/>
      <c r="D31" s="797"/>
      <c r="E31" s="797"/>
      <c r="F31" s="797"/>
      <c r="G31" s="797"/>
      <c r="H31" s="797"/>
      <c r="I31" s="797"/>
      <c r="J31" s="797"/>
      <c r="K31" s="797"/>
      <c r="L31" s="797"/>
      <c r="M31" s="797"/>
      <c r="N31" s="797"/>
      <c r="O31" s="797"/>
      <c r="P31" s="797"/>
      <c r="Q31" s="797"/>
      <c r="R31" s="797"/>
      <c r="S31" s="797"/>
      <c r="T31" s="797"/>
      <c r="U31" s="797"/>
      <c r="V31" s="797"/>
      <c r="W31" s="797"/>
      <c r="X31" s="798"/>
      <c r="Y31" s="94"/>
      <c r="Z31" s="94"/>
      <c r="AA31" s="94"/>
      <c r="AB31" s="94"/>
    </row>
    <row r="32" spans="1:28" ht="12.6" customHeight="1">
      <c r="A32" s="184">
        <v>5</v>
      </c>
      <c r="B32" s="652" t="s">
        <v>120</v>
      </c>
      <c r="C32" s="646">
        <f>AVERAGE(D32:W32)</f>
        <v>1812.7829445245777</v>
      </c>
      <c r="D32" s="799">
        <f>IF(D3&gt;ProjectLife+1,0,Main_Start*'Project Assumptions'!$L$15*(1+Main_Escal)^(D4-'Project Assumptions'!$N$6)/1000)</f>
        <v>1349.28</v>
      </c>
      <c r="E32" s="799">
        <f>IF(E3&gt;ProjectLife+1,0,Main_Start*'Project Assumptions'!$L$15*(1+Main_Escal)^(E4-'Project Assumptions'!$N$6)/1000)</f>
        <v>1389.7584000000002</v>
      </c>
      <c r="F32" s="799">
        <f>IF(F3&gt;ProjectLife+1,0,Main_Start*'Project Assumptions'!$L$15*(1+Main_Escal)^(F4-'Project Assumptions'!$N$6)/1000)</f>
        <v>1431.4511520000001</v>
      </c>
      <c r="G32" s="799">
        <f>IF(G3&gt;ProjectLife+1,0,Main_Start*'Project Assumptions'!$L$15*(1+Main_Escal)^(G4-'Project Assumptions'!$N$6)/1000)</f>
        <v>1474.3946865600001</v>
      </c>
      <c r="H32" s="799">
        <f>IF(H3&gt;ProjectLife+1,0,Main_Start*'Project Assumptions'!$L$15*(1+Main_Escal)^(H4-'Project Assumptions'!$N$6)/1000)</f>
        <v>1518.6265271567997</v>
      </c>
      <c r="I32" s="799">
        <f>IF(I3&gt;ProjectLife+1,0,Main_Start*'Project Assumptions'!$L$15*(1+Main_Escal)^(I4-'Project Assumptions'!$N$6)/1000)</f>
        <v>1564.1853229715036</v>
      </c>
      <c r="J32" s="799">
        <f>IF(J3&gt;ProjectLife+1,0,Main_Start*'Project Assumptions'!$L$15*(1+Main_Escal)^(J4-'Project Assumptions'!$N$6)/1000)</f>
        <v>1611.1108826606489</v>
      </c>
      <c r="K32" s="799">
        <f>IF(K3&gt;ProjectLife+1,0,Main_Start*'Project Assumptions'!$L$15*(1+Main_Escal)^(K4-'Project Assumptions'!$N$6)/1000)</f>
        <v>1659.4442091404687</v>
      </c>
      <c r="L32" s="799">
        <f>IF(L3&gt;ProjectLife+1,0,Main_Start*'Project Assumptions'!$L$15*(1+Main_Escal)^(L4-'Project Assumptions'!$N$6)/1000)</f>
        <v>1709.2275354146825</v>
      </c>
      <c r="M32" s="799">
        <f>IF(M3&gt;ProjectLife+1,0,Main_Start*'Project Assumptions'!$L$15*(1+Main_Escal)^(M4-'Project Assumptions'!$N$6)/1000)</f>
        <v>1760.504361477123</v>
      </c>
      <c r="N32" s="799">
        <f>IF(N3&gt;ProjectLife+1,0,Main_Start*'Project Assumptions'!$L$15*(1+Main_Escal)^(N4-'Project Assumptions'!$N$6)/1000)</f>
        <v>1813.3194923214364</v>
      </c>
      <c r="O32" s="799">
        <f>IF(O3&gt;ProjectLife+1,0,Main_Start*'Project Assumptions'!$L$15*(1+Main_Escal)^(O4-'Project Assumptions'!$N$6)/1000)</f>
        <v>1867.71907709108</v>
      </c>
      <c r="P32" s="799">
        <f>IF(P3&gt;ProjectLife+1,0,Main_Start*'Project Assumptions'!$L$15*(1+Main_Escal)^(P4-'Project Assumptions'!$N$6)/1000)</f>
        <v>1923.7506494038118</v>
      </c>
      <c r="Q32" s="799">
        <f>IF(Q3&gt;ProjectLife+1,0,Main_Start*'Project Assumptions'!$L$15*(1+Main_Escal)^(Q4-'Project Assumptions'!$N$6)/1000)</f>
        <v>1981.4631688859263</v>
      </c>
      <c r="R32" s="799">
        <f>IF(R3&gt;ProjectLife+1,0,Main_Start*'Project Assumptions'!$L$15*(1+Main_Escal)^(R4-'Project Assumptions'!$N$6)/1000)</f>
        <v>2040.9070639525041</v>
      </c>
      <c r="S32" s="799">
        <f>IF(S3&gt;ProjectLife+1,0,Main_Start*'Project Assumptions'!$L$15*(1+Main_Escal)^(S4-'Project Assumptions'!$N$6)/1000)</f>
        <v>2102.1342758710794</v>
      </c>
      <c r="T32" s="799">
        <f>IF(T3&gt;ProjectLife+1,0,Main_Start*'Project Assumptions'!$L$15*(1+Main_Escal)^(T4-'Project Assumptions'!$N$6)/1000)</f>
        <v>2165.1983041472113</v>
      </c>
      <c r="U32" s="799">
        <f>IF(U3&gt;ProjectLife+1,0,Main_Start*'Project Assumptions'!$L$15*(1+Main_Escal)^(U4-'Project Assumptions'!$N$6)/1000)</f>
        <v>2230.1542532716276</v>
      </c>
      <c r="V32" s="799">
        <f>IF(V3&gt;ProjectLife+1,0,Main_Start*'Project Assumptions'!$L$15*(1+Main_Escal)^(V4-'Project Assumptions'!$N$6)/1000)</f>
        <v>2297.0588808697767</v>
      </c>
      <c r="W32" s="799">
        <f>IF(W3&gt;ProjectLife+1,0,Main_Start*'Project Assumptions'!$L$15*(1+Main_Escal)^(W4-'Project Assumptions'!$N$6)/1000)</f>
        <v>2365.9706472958701</v>
      </c>
      <c r="X32" s="800">
        <f>IF(X3&gt;ProjectLife+1,0,Main_Start*'Project Assumptions'!$L$15*(1+Main_Escal)^(X4-'Project Assumptions'!$N$6)/1000)</f>
        <v>2436.9497667147461</v>
      </c>
      <c r="Y32" s="5"/>
      <c r="Z32" s="5"/>
      <c r="AA32" s="5"/>
      <c r="AB32" s="5"/>
    </row>
    <row r="33" spans="1:28" ht="12.6" customHeight="1">
      <c r="A33" s="184">
        <v>4</v>
      </c>
      <c r="B33" s="517" t="s">
        <v>404</v>
      </c>
      <c r="C33" s="646"/>
      <c r="D33" s="879">
        <f>IF(D3&gt;ProjectLife+1,0,Fuel_Start*'Project Assumptions'!$L$16)/1000</f>
        <v>0</v>
      </c>
      <c r="E33" s="879">
        <f>IF(E3&gt;ProjectLife+1,0,Fuel_Start*'Project Assumptions'!$L$16)/1000</f>
        <v>0</v>
      </c>
      <c r="F33" s="879">
        <f>IF(F3&gt;ProjectLife+1,0,Fuel_Start*'Project Assumptions'!$L$16)/1000</f>
        <v>0</v>
      </c>
      <c r="G33" s="879">
        <f>IF(G3&gt;ProjectLife+1,0,Fuel_Start*'Project Assumptions'!$L$16)/1000</f>
        <v>0</v>
      </c>
      <c r="H33" s="879">
        <f>IF(H3&gt;ProjectLife+1,0,Fuel_Start*'Project Assumptions'!$L$16)/1000</f>
        <v>0</v>
      </c>
      <c r="I33" s="879">
        <f>IF(I3&gt;ProjectLife+1,0,Fuel_Start*'Project Assumptions'!$L$16)/1000</f>
        <v>0</v>
      </c>
      <c r="J33" s="879">
        <f>IF(J3&gt;ProjectLife+1,0,Fuel_Start*'Project Assumptions'!$L$16)/1000</f>
        <v>0</v>
      </c>
      <c r="K33" s="879">
        <f>IF(K3&gt;ProjectLife+1,0,Fuel_Start*'Project Assumptions'!$L$16)/1000</f>
        <v>0</v>
      </c>
      <c r="L33" s="879">
        <f>IF(L3&gt;ProjectLife+1,0,Fuel_Start*'Project Assumptions'!$L$16)/1000</f>
        <v>0</v>
      </c>
      <c r="M33" s="879">
        <f>IF(M3&gt;ProjectLife+1,0,Fuel_Start*'Project Assumptions'!$L$16)/1000</f>
        <v>0</v>
      </c>
      <c r="N33" s="879">
        <f>IF(N3&gt;ProjectLife+1,0,Fuel_Start*'Project Assumptions'!$L$16)/1000</f>
        <v>0</v>
      </c>
      <c r="O33" s="879">
        <f>IF(O3&gt;ProjectLife+1,0,Fuel_Start*'Project Assumptions'!$L$16)/1000</f>
        <v>0</v>
      </c>
      <c r="P33" s="879">
        <f>IF(P3&gt;ProjectLife+1,0,Fuel_Start*'Project Assumptions'!$L$16)/1000</f>
        <v>0</v>
      </c>
      <c r="Q33" s="879">
        <f>IF(Q3&gt;ProjectLife+1,0,Fuel_Start*'Project Assumptions'!$L$16)/1000</f>
        <v>0</v>
      </c>
      <c r="R33" s="879">
        <f>IF(R3&gt;ProjectLife+1,0,Fuel_Start*'Project Assumptions'!$L$16)/1000</f>
        <v>0</v>
      </c>
      <c r="S33" s="879">
        <f>IF(S3&gt;ProjectLife+1,0,Fuel_Start*'Project Assumptions'!$L$16)/1000</f>
        <v>0</v>
      </c>
      <c r="T33" s="879">
        <f>IF(T3&gt;ProjectLife+1,0,Fuel_Start*'Project Assumptions'!$L$16)/1000</f>
        <v>0</v>
      </c>
      <c r="U33" s="879">
        <f>IF(U3&gt;ProjectLife+1,0,Fuel_Start*'Project Assumptions'!$L$16)/1000</f>
        <v>0</v>
      </c>
      <c r="V33" s="879">
        <f>IF(V3&gt;ProjectLife+1,0,Fuel_Start*'Project Assumptions'!$L$16)/1000</f>
        <v>0</v>
      </c>
      <c r="W33" s="879">
        <f>IF(W3&gt;ProjectLife+1,0,Fuel_Start*'Project Assumptions'!$L$16)/1000</f>
        <v>0</v>
      </c>
      <c r="X33" s="880">
        <f>IF(X3&gt;ProjectLife+1,0,Fuel_Start*'Project Assumptions'!$L$16)/1000</f>
        <v>0</v>
      </c>
      <c r="Y33" s="94"/>
      <c r="Z33" s="94"/>
      <c r="AA33" s="94"/>
      <c r="AB33" s="94"/>
    </row>
    <row r="34" spans="1:28" ht="12.6" customHeight="1">
      <c r="B34" s="881" t="s">
        <v>565</v>
      </c>
      <c r="C34" s="646"/>
      <c r="D34" s="1102">
        <f>SUM(D32:D33)</f>
        <v>1349.28</v>
      </c>
      <c r="E34" s="1102">
        <f t="shared" ref="E34:X34" si="6">SUM(E32:E33)</f>
        <v>1389.7584000000002</v>
      </c>
      <c r="F34" s="1102">
        <f t="shared" si="6"/>
        <v>1431.4511520000001</v>
      </c>
      <c r="G34" s="1102">
        <f t="shared" si="6"/>
        <v>1474.3946865600001</v>
      </c>
      <c r="H34" s="1102">
        <f t="shared" si="6"/>
        <v>1518.6265271567997</v>
      </c>
      <c r="I34" s="1102">
        <f t="shared" si="6"/>
        <v>1564.1853229715036</v>
      </c>
      <c r="J34" s="1102">
        <f t="shared" si="6"/>
        <v>1611.1108826606489</v>
      </c>
      <c r="K34" s="1102">
        <f t="shared" si="6"/>
        <v>1659.4442091404687</v>
      </c>
      <c r="L34" s="1102">
        <f t="shared" si="6"/>
        <v>1709.2275354146825</v>
      </c>
      <c r="M34" s="1102">
        <f t="shared" si="6"/>
        <v>1760.504361477123</v>
      </c>
      <c r="N34" s="1102">
        <f t="shared" si="6"/>
        <v>1813.3194923214364</v>
      </c>
      <c r="O34" s="1102">
        <f t="shared" si="6"/>
        <v>1867.71907709108</v>
      </c>
      <c r="P34" s="1102">
        <f t="shared" si="6"/>
        <v>1923.7506494038118</v>
      </c>
      <c r="Q34" s="1102">
        <f t="shared" si="6"/>
        <v>1981.4631688859263</v>
      </c>
      <c r="R34" s="1102">
        <f t="shared" si="6"/>
        <v>2040.9070639525041</v>
      </c>
      <c r="S34" s="1102">
        <f t="shared" si="6"/>
        <v>2102.1342758710794</v>
      </c>
      <c r="T34" s="1102">
        <f t="shared" si="6"/>
        <v>2165.1983041472113</v>
      </c>
      <c r="U34" s="1102">
        <f t="shared" si="6"/>
        <v>2230.1542532716276</v>
      </c>
      <c r="V34" s="1102">
        <f t="shared" si="6"/>
        <v>2297.0588808697767</v>
      </c>
      <c r="W34" s="1102">
        <f t="shared" si="6"/>
        <v>2365.9706472958701</v>
      </c>
      <c r="X34" s="1103">
        <f t="shared" si="6"/>
        <v>2436.9497667147461</v>
      </c>
      <c r="Y34" s="94"/>
      <c r="Z34" s="94"/>
      <c r="AA34" s="94"/>
      <c r="AB34" s="94"/>
    </row>
    <row r="35" spans="1:28" ht="12.6" customHeight="1">
      <c r="B35" s="652"/>
      <c r="C35" s="646"/>
      <c r="D35" s="797"/>
      <c r="E35" s="797"/>
      <c r="F35" s="797"/>
      <c r="G35" s="797"/>
      <c r="H35" s="797"/>
      <c r="I35" s="797"/>
      <c r="J35" s="797"/>
      <c r="K35" s="797"/>
      <c r="L35" s="797"/>
      <c r="M35" s="797"/>
      <c r="N35" s="797"/>
      <c r="O35" s="797"/>
      <c r="P35" s="797"/>
      <c r="Q35" s="797"/>
      <c r="R35" s="797"/>
      <c r="S35" s="797"/>
      <c r="T35" s="797"/>
      <c r="U35" s="797"/>
      <c r="V35" s="797"/>
      <c r="W35" s="797"/>
      <c r="X35" s="798"/>
      <c r="Y35" s="94"/>
      <c r="Z35" s="94"/>
      <c r="AA35" s="94"/>
      <c r="AB35" s="94"/>
    </row>
    <row r="36" spans="1:28" ht="12.6" customHeight="1">
      <c r="B36" s="881" t="s">
        <v>573</v>
      </c>
      <c r="C36" s="646"/>
      <c r="D36" s="797"/>
      <c r="E36" s="797"/>
      <c r="F36" s="797"/>
      <c r="G36" s="797"/>
      <c r="H36" s="797"/>
      <c r="I36" s="797"/>
      <c r="J36" s="797"/>
      <c r="K36" s="797"/>
      <c r="L36" s="797"/>
      <c r="M36" s="797"/>
      <c r="N36" s="797"/>
      <c r="O36" s="797"/>
      <c r="P36" s="797"/>
      <c r="Q36" s="797"/>
      <c r="R36" s="797"/>
      <c r="S36" s="797"/>
      <c r="T36" s="797"/>
      <c r="U36" s="797"/>
      <c r="V36" s="797"/>
      <c r="W36" s="797"/>
      <c r="X36" s="798"/>
      <c r="Y36" s="94"/>
      <c r="Z36" s="94"/>
      <c r="AA36" s="94"/>
      <c r="AB36" s="94"/>
    </row>
    <row r="37" spans="1:28" ht="12.6" customHeight="1">
      <c r="A37" s="184">
        <v>2</v>
      </c>
      <c r="B37" s="652" t="s">
        <v>408</v>
      </c>
      <c r="C37" s="646">
        <f>AVERAGE(D37:W37)</f>
        <v>612.08060978866536</v>
      </c>
      <c r="D37" s="799">
        <f>Labor*('Book Income Statement'!D6/12)</f>
        <v>194.03749999999999</v>
      </c>
      <c r="E37" s="799">
        <f>IF(E3&gt;ProjectLife+1,0,Labor*((1+OM_Escal)^(E4-'Project Assumptions'!$N$6))*E5/12)</f>
        <v>479.66070000000008</v>
      </c>
      <c r="F37" s="799">
        <f>IF(F3&gt;ProjectLife+1,0,Labor*((1+OM_Escal)^(F4-'Project Assumptions'!$N$6))*F5/12)</f>
        <v>494.05052099999995</v>
      </c>
      <c r="G37" s="799">
        <f>IF(G3&gt;ProjectLife+1,0,Labor*((1+OM_Escal)^(G4-'Project Assumptions'!$N$6))*G5/12)</f>
        <v>508.87203663000008</v>
      </c>
      <c r="H37" s="799">
        <f>IF(H3&gt;ProjectLife+1,0,Labor*((1+OM_Escal)^(H4-'Project Assumptions'!$N$6))*H5/12)</f>
        <v>524.13819772889997</v>
      </c>
      <c r="I37" s="799">
        <f>IF(I3&gt;ProjectLife+1,0,Labor*((1+OM_Escal)^(I4-'Project Assumptions'!$N$6))*I5/12)</f>
        <v>539.8623436607669</v>
      </c>
      <c r="J37" s="799">
        <f>IF(J3&gt;ProjectLife+1,0,Labor*((1+OM_Escal)^(J4-'Project Assumptions'!$N$6))*J5/12)</f>
        <v>556.05821397058992</v>
      </c>
      <c r="K37" s="799">
        <f>IF(K3&gt;ProjectLife+1,0,Labor*((1+OM_Escal)^(K4-'Project Assumptions'!$N$6))*K5/12)</f>
        <v>572.73996038970768</v>
      </c>
      <c r="L37" s="799">
        <f>IF(L3&gt;ProjectLife+1,0,Labor*((1+OM_Escal)^(L4-'Project Assumptions'!$N$6))*L5/12)</f>
        <v>589.92215920139881</v>
      </c>
      <c r="M37" s="799">
        <f>IF(M3&gt;ProjectLife+1,0,Labor*((1+OM_Escal)^(M4-'Project Assumptions'!$N$6))*M5/12)</f>
        <v>607.61982397744089</v>
      </c>
      <c r="N37" s="799">
        <f>IF(N3&gt;ProjectLife+1,0,Labor*((1+OM_Escal)^(N4-'Project Assumptions'!$N$6))*N5/12)</f>
        <v>625.84841869676404</v>
      </c>
      <c r="O37" s="799">
        <f>IF(O3&gt;ProjectLife+1,0,Labor*((1+OM_Escal)^(O4-'Project Assumptions'!$N$6))*O5/12)</f>
        <v>644.62387125766702</v>
      </c>
      <c r="P37" s="799">
        <f>IF(P3&gt;ProjectLife+1,0,Labor*((1+OM_Escal)^(P4-'Project Assumptions'!$N$6))*P5/12)</f>
        <v>663.96258739539689</v>
      </c>
      <c r="Q37" s="799">
        <f>IF(Q3&gt;ProjectLife+1,0,Labor*((1+OM_Escal)^(Q4-'Project Assumptions'!$N$6))*Q5/12)</f>
        <v>683.88146501725885</v>
      </c>
      <c r="R37" s="799">
        <f>IF(R3&gt;ProjectLife+1,0,Labor*((1+OM_Escal)^(R4-'Project Assumptions'!$N$6))*R5/12)</f>
        <v>704.39790896777652</v>
      </c>
      <c r="S37" s="799">
        <f>IF(S3&gt;ProjectLife+1,0,Labor*((1+OM_Escal)^(S4-'Project Assumptions'!$N$6))*S5/12)</f>
        <v>725.52984623680993</v>
      </c>
      <c r="T37" s="799">
        <f>IF(T3&gt;ProjectLife+1,0,Labor*((1+OM_Escal)^(T4-'Project Assumptions'!$N$6))*T5/12)</f>
        <v>747.29574162391418</v>
      </c>
      <c r="U37" s="799">
        <f>IF(U3&gt;ProjectLife+1,0,Labor*((1+OM_Escal)^(U4-'Project Assumptions'!$N$6))*U5/12)</f>
        <v>769.71461387263162</v>
      </c>
      <c r="V37" s="799">
        <f>IF(V3&gt;ProjectLife+1,0,Labor*((1+OM_Escal)^(V4-'Project Assumptions'!$N$6))*V5/12)</f>
        <v>792.80605228881052</v>
      </c>
      <c r="W37" s="799">
        <f>IF(W3&gt;ProjectLife+1,0,Labor*((1+OM_Escal)^(W4-'Project Assumptions'!$N$6))*W5/12)</f>
        <v>816.5902338574748</v>
      </c>
      <c r="X37" s="800">
        <f>IF(X3&gt;ProjectLife+1,0,Labor*((1+OM_Escal)^(X4-'Project Assumptions'!$N$6))*X5/12)</f>
        <v>841.08794087319905</v>
      </c>
      <c r="Y37" s="5"/>
      <c r="Z37" s="5"/>
      <c r="AA37" s="5"/>
      <c r="AB37" s="5"/>
    </row>
    <row r="38" spans="1:28" ht="12.6" customHeight="1">
      <c r="A38" s="184">
        <v>2</v>
      </c>
      <c r="B38" s="652" t="s">
        <v>409</v>
      </c>
      <c r="C38" s="646">
        <f>AVERAGE(D38:W38)</f>
        <v>309.8716411427684</v>
      </c>
      <c r="D38" s="799">
        <f>Fixed*('Book Income Statement'!D6/12)</f>
        <v>98.233333333333334</v>
      </c>
      <c r="E38" s="799">
        <f>IF(E3&gt;ProjectLife+1,0,Fixed*((1+OM_Escal)^(E4-'Project Assumptions'!$N$6))*E5/12)</f>
        <v>242.83279999999999</v>
      </c>
      <c r="F38" s="799">
        <f>IF(F3&gt;ProjectLife+1,0,Fixed*((1+OM_Escal)^(F4-'Project Assumptions'!$N$6))*F5/12)</f>
        <v>250.11778399999994</v>
      </c>
      <c r="G38" s="799">
        <f>IF(G3&gt;ProjectLife+1,0,Fixed*((1+OM_Escal)^(G4-'Project Assumptions'!$N$6))*G5/12)</f>
        <v>257.62131751999999</v>
      </c>
      <c r="H38" s="799">
        <f>IF(H3&gt;ProjectLife+1,0,Fixed*((1+OM_Escal)^(H4-'Project Assumptions'!$N$6))*H5/12)</f>
        <v>265.34995704559998</v>
      </c>
      <c r="I38" s="799">
        <f>IF(I3&gt;ProjectLife+1,0,Fixed*((1+OM_Escal)^(I4-'Project Assumptions'!$N$6))*I5/12)</f>
        <v>273.31045575696794</v>
      </c>
      <c r="J38" s="799">
        <f>IF(J3&gt;ProjectLife+1,0,Fixed*((1+OM_Escal)^(J4-'Project Assumptions'!$N$6))*J5/12)</f>
        <v>281.50976942967702</v>
      </c>
      <c r="K38" s="799">
        <f>IF(K3&gt;ProjectLife+1,0,Fixed*((1+OM_Escal)^(K4-'Project Assumptions'!$N$6))*K5/12)</f>
        <v>289.95506251256734</v>
      </c>
      <c r="L38" s="799">
        <f>IF(L3&gt;ProjectLife+1,0,Fixed*((1+OM_Escal)^(L4-'Project Assumptions'!$N$6))*L5/12)</f>
        <v>298.65371438794432</v>
      </c>
      <c r="M38" s="799">
        <f>IF(M3&gt;ProjectLife+1,0,Fixed*((1+OM_Escal)^(M4-'Project Assumptions'!$N$6))*M5/12)</f>
        <v>307.61332581958266</v>
      </c>
      <c r="N38" s="799">
        <f>IF(N3&gt;ProjectLife+1,0,Fixed*((1+OM_Escal)^(N4-'Project Assumptions'!$N$6))*N5/12)</f>
        <v>316.84172559417016</v>
      </c>
      <c r="O38" s="799">
        <f>IF(O3&gt;ProjectLife+1,0,Fixed*((1+OM_Escal)^(O4-'Project Assumptions'!$N$6))*O5/12)</f>
        <v>326.34697736199524</v>
      </c>
      <c r="P38" s="799">
        <f>IF(P3&gt;ProjectLife+1,0,Fixed*((1+OM_Escal)^(P4-'Project Assumptions'!$N$6))*P5/12)</f>
        <v>336.13738668285504</v>
      </c>
      <c r="Q38" s="799">
        <f>IF(Q3&gt;ProjectLife+1,0,Fixed*((1+OM_Escal)^(Q4-'Project Assumptions'!$N$6))*Q5/12)</f>
        <v>346.22150828334071</v>
      </c>
      <c r="R38" s="799">
        <f>IF(R3&gt;ProjectLife+1,0,Fixed*((1+OM_Escal)^(R4-'Project Assumptions'!$N$6))*R5/12)</f>
        <v>356.60815353184097</v>
      </c>
      <c r="S38" s="799">
        <f>IF(S3&gt;ProjectLife+1,0,Fixed*((1+OM_Escal)^(S4-'Project Assumptions'!$N$6))*S5/12)</f>
        <v>367.30639813779618</v>
      </c>
      <c r="T38" s="799">
        <f>IF(T3&gt;ProjectLife+1,0,Fixed*((1+OM_Escal)^(T4-'Project Assumptions'!$N$6))*T5/12)</f>
        <v>378.3255900819301</v>
      </c>
      <c r="U38" s="799">
        <f>IF(U3&gt;ProjectLife+1,0,Fixed*((1+OM_Escal)^(U4-'Project Assumptions'!$N$6))*U5/12)</f>
        <v>389.67535778438793</v>
      </c>
      <c r="V38" s="799">
        <f>IF(V3&gt;ProjectLife+1,0,Fixed*((1+OM_Escal)^(V4-'Project Assumptions'!$N$6))*V5/12)</f>
        <v>401.36561851791959</v>
      </c>
      <c r="W38" s="799">
        <f>IF(W3&gt;ProjectLife+1,0,Fixed*((1+OM_Escal)^(W4-'Project Assumptions'!$N$6))*W5/12)</f>
        <v>413.40658707345716</v>
      </c>
      <c r="X38" s="800">
        <f>IF(X3&gt;ProjectLife+1,0,Fixed*((1+OM_Escal)^(X4-'Project Assumptions'!$N$6))*X5/12)</f>
        <v>425.80878468566084</v>
      </c>
      <c r="Y38" s="5"/>
      <c r="Z38" s="5"/>
      <c r="AA38" s="5"/>
      <c r="AB38" s="5"/>
    </row>
    <row r="39" spans="1:28" ht="12.6" customHeight="1">
      <c r="A39" s="184">
        <v>12</v>
      </c>
      <c r="B39" s="652" t="s">
        <v>538</v>
      </c>
      <c r="C39" s="646">
        <f>AVERAGE(D39:W39)</f>
        <v>201.01855001377217</v>
      </c>
      <c r="D39" s="799">
        <f>IF(D3&gt;ProjectLife+1,0,'Project Assumptions'!$N$22*((1+OM_Escal)^(D4-'Project Assumptions'!$N$6))*D5/12)</f>
        <v>63.725490196078447</v>
      </c>
      <c r="E39" s="799">
        <f>IF(E3&gt;ProjectLife+1,0,'Project Assumptions'!$N$22*((1+OM_Escal)^(E4-'Project Assumptions'!$N$6))*E5/12)</f>
        <v>157.52941176470591</v>
      </c>
      <c r="F39" s="799">
        <f>IF(F3&gt;ProjectLife+1,0,'Project Assumptions'!$N$22*((1+OM_Escal)^(F4-'Project Assumptions'!$N$6))*F5/12)</f>
        <v>162.25529411764708</v>
      </c>
      <c r="G39" s="799">
        <f>IF(G3&gt;ProjectLife+1,0,'Project Assumptions'!$N$22*((1+OM_Escal)^(G4-'Project Assumptions'!$N$6))*G5/12)</f>
        <v>167.12295294117649</v>
      </c>
      <c r="H39" s="799">
        <f>IF(H3&gt;ProjectLife+1,0,'Project Assumptions'!$N$22*((1+OM_Escal)^(H4-'Project Assumptions'!$N$6))*H5/12)</f>
        <v>172.13664152941178</v>
      </c>
      <c r="I39" s="799">
        <f>IF(I3&gt;ProjectLife+1,0,'Project Assumptions'!$N$22*((1+OM_Escal)^(I4-'Project Assumptions'!$N$6))*I5/12)</f>
        <v>177.30074077529412</v>
      </c>
      <c r="J39" s="799">
        <f>IF(J3&gt;ProjectLife+1,0,'Project Assumptions'!$N$22*((1+OM_Escal)^(J4-'Project Assumptions'!$N$6))*J5/12)</f>
        <v>182.619762998553</v>
      </c>
      <c r="K39" s="799">
        <f>IF(K3&gt;ProjectLife+1,0,'Project Assumptions'!$N$22*((1+OM_Escal)^(K4-'Project Assumptions'!$N$6))*K5/12)</f>
        <v>188.09835588850956</v>
      </c>
      <c r="L39" s="799">
        <f>IF(L3&gt;ProjectLife+1,0,'Project Assumptions'!$N$22*((1+OM_Escal)^(L4-'Project Assumptions'!$N$6))*L5/12)</f>
        <v>193.74130656516482</v>
      </c>
      <c r="M39" s="799">
        <f>IF(M3&gt;ProjectLife+1,0,'Project Assumptions'!$N$22*((1+OM_Escal)^(M4-'Project Assumptions'!$N$6))*M5/12)</f>
        <v>199.5535457621198</v>
      </c>
      <c r="N39" s="799">
        <f>IF(N3&gt;ProjectLife+1,0,'Project Assumptions'!$N$22*((1+OM_Escal)^(N4-'Project Assumptions'!$N$6))*N5/12)</f>
        <v>205.54015213498337</v>
      </c>
      <c r="O39" s="799">
        <f>IF(O3&gt;ProjectLife+1,0,'Project Assumptions'!$N$22*((1+OM_Escal)^(O4-'Project Assumptions'!$N$6))*O5/12)</f>
        <v>211.70635669903288</v>
      </c>
      <c r="P39" s="799">
        <f>IF(P3&gt;ProjectLife+1,0,'Project Assumptions'!$N$22*((1+OM_Escal)^(P4-'Project Assumptions'!$N$6))*P5/12)</f>
        <v>218.05754740000381</v>
      </c>
      <c r="Q39" s="799">
        <f>IF(Q3&gt;ProjectLife+1,0,'Project Assumptions'!$N$22*((1+OM_Escal)^(Q4-'Project Assumptions'!$N$6))*Q5/12)</f>
        <v>224.59927382200394</v>
      </c>
      <c r="R39" s="799">
        <f>IF(R3&gt;ProjectLife+1,0,'Project Assumptions'!$N$22*((1+OM_Escal)^(R4-'Project Assumptions'!$N$6))*R5/12)</f>
        <v>231.33725203666407</v>
      </c>
      <c r="S39" s="799">
        <f>IF(S3&gt;ProjectLife+1,0,'Project Assumptions'!$N$22*((1+OM_Escal)^(S4-'Project Assumptions'!$N$6))*S5/12)</f>
        <v>238.27736959776402</v>
      </c>
      <c r="T39" s="799">
        <f>IF(T3&gt;ProjectLife+1,0,'Project Assumptions'!$N$22*((1+OM_Escal)^(T4-'Project Assumptions'!$N$6))*T5/12)</f>
        <v>245.42569068569688</v>
      </c>
      <c r="U39" s="799">
        <f>IF(U3&gt;ProjectLife+1,0,'Project Assumptions'!$N$22*((1+OM_Escal)^(U4-'Project Assumptions'!$N$6))*U5/12)</f>
        <v>252.78846140626783</v>
      </c>
      <c r="V39" s="799">
        <f>IF(V3&gt;ProjectLife+1,0,'Project Assumptions'!$N$22*((1+OM_Escal)^(V4-'Project Assumptions'!$N$6))*V5/12)</f>
        <v>260.37211524845583</v>
      </c>
      <c r="W39" s="799">
        <f>IF(W3&gt;ProjectLife+1,0,'Project Assumptions'!$N$22*((1+OM_Escal)^(W4-'Project Assumptions'!$N$6))*W5/12)</f>
        <v>268.18327870590952</v>
      </c>
      <c r="X39" s="800">
        <f>IF(X3&gt;ProjectLife+1,0,'Project Assumptions'!$N$22*((1+OM_Escal)^(X4-'Project Assumptions'!$N$6))*X5/12)</f>
        <v>276.22877706708675</v>
      </c>
      <c r="Y39" s="5"/>
      <c r="Z39" s="5"/>
      <c r="AA39" s="5"/>
      <c r="AB39" s="5"/>
    </row>
    <row r="40" spans="1:28" ht="12.6" customHeight="1">
      <c r="B40" s="652" t="s">
        <v>641</v>
      </c>
      <c r="C40" s="646">
        <f>AVERAGE(D40:W40)</f>
        <v>409.178643265765</v>
      </c>
      <c r="D40" s="799">
        <f>IF(D3&gt;ProjectLife+1,0,'Project Assumptions'!$N$23*((1+OM_Escal)^(D4-2003))*D7/12)</f>
        <v>0</v>
      </c>
      <c r="E40" s="799">
        <f>IF(E3&gt;ProjectLife+1,0,'Project Assumptions'!$N$23*((1+OM_Escal)^(E4-2003))*E7/12)</f>
        <v>0</v>
      </c>
      <c r="F40" s="799">
        <f>IF(F3&gt;ProjectLife+1,0,'Project Assumptions'!$N$23*((1+OM_Escal)^(F4-2003))*F7/12)</f>
        <v>0</v>
      </c>
      <c r="G40" s="799">
        <f>IF(G3&gt;ProjectLife+1,0,'Project Assumptions'!$N$23*((1+OM_Escal)^(G4-2003))*G7/12)</f>
        <v>0</v>
      </c>
      <c r="H40" s="799">
        <f>IF(H3&gt;ProjectLife+1,0,'Project Assumptions'!$N$23*((1+OM_Escal)^(H4-2003))*H7/12)</f>
        <v>241.82872</v>
      </c>
      <c r="I40" s="799">
        <f>IF(I3&gt;ProjectLife+1,0,'Project Assumptions'!$N$23*((1+OM_Escal)^(I4-2003))*I7/12)</f>
        <v>427.00042560000003</v>
      </c>
      <c r="J40" s="799">
        <f>IF(J3&gt;ProjectLife+1,0,'Project Assumptions'!$N$23*((1+OM_Escal)^(J4-2003))*J7/12)</f>
        <v>439.81043836800001</v>
      </c>
      <c r="K40" s="799">
        <f>IF(K3&gt;ProjectLife+1,0,'Project Assumptions'!$N$23*((1+OM_Escal)^(K4-2003))*K7/12)</f>
        <v>453.0047515190401</v>
      </c>
      <c r="L40" s="799">
        <f>IF(L3&gt;ProjectLife+1,0,'Project Assumptions'!$N$23*((1+OM_Escal)^(L4-2003))*L7/12)</f>
        <v>466.5948940646112</v>
      </c>
      <c r="M40" s="799">
        <f>IF(M3&gt;ProjectLife+1,0,'Project Assumptions'!$N$23*((1+OM_Escal)^(M4-2003))*M7/12)</f>
        <v>480.59274088654951</v>
      </c>
      <c r="N40" s="799">
        <f>IF(N3&gt;ProjectLife+1,0,'Project Assumptions'!$N$23*((1+OM_Escal)^(N4-2003))*N7/12)</f>
        <v>495.01052311314601</v>
      </c>
      <c r="O40" s="799">
        <f>IF(O3&gt;ProjectLife+1,0,'Project Assumptions'!$N$23*((1+OM_Escal)^(O4-2003))*O7/12)</f>
        <v>509.86083880654047</v>
      </c>
      <c r="P40" s="799">
        <f>IF(P3&gt;ProjectLife+1,0,'Project Assumptions'!$N$23*((1+OM_Escal)^(P4-2003))*P7/12)</f>
        <v>525.15666397073664</v>
      </c>
      <c r="Q40" s="799">
        <f>IF(Q3&gt;ProjectLife+1,0,'Project Assumptions'!$N$23*((1+OM_Escal)^(Q4-2003))*Q7/12)</f>
        <v>540.91136388985876</v>
      </c>
      <c r="R40" s="799">
        <f>IF(R3&gt;ProjectLife+1,0,'Project Assumptions'!$N$23*((1+OM_Escal)^(R4-2003))*R7/12)</f>
        <v>557.13870480655441</v>
      </c>
      <c r="S40" s="799">
        <f>IF(S3&gt;ProjectLife+1,0,'Project Assumptions'!$N$23*((1+OM_Escal)^(S4-2003))*S7/12)</f>
        <v>573.85286595075115</v>
      </c>
      <c r="T40" s="799">
        <f>IF(T3&gt;ProjectLife+1,0,'Project Assumptions'!$N$23*((1+OM_Escal)^(T4-2003))*T7/12)</f>
        <v>591.06845192927358</v>
      </c>
      <c r="U40" s="799">
        <f>IF(U3&gt;ProjectLife+1,0,'Project Assumptions'!$N$23*((1+OM_Escal)^(U4-2003))*U7/12)</f>
        <v>608.80050548715178</v>
      </c>
      <c r="V40" s="799">
        <f>IF(V3&gt;ProjectLife+1,0,'Project Assumptions'!$N$23*((1+OM_Escal)^(V4-2003))*V7/12)</f>
        <v>627.06452065176632</v>
      </c>
      <c r="W40" s="799">
        <f>IF(W3&gt;ProjectLife+1,0,'Project Assumptions'!$N$23*((1+OM_Escal)^(W4-2003))*W7/12)</f>
        <v>645.8764562713194</v>
      </c>
      <c r="X40" s="800">
        <f>IF(X3&gt;ProjectLife+1,0,'Project Assumptions'!$N$23*((1+OM_Escal)^(X4-2003))*X7/12)</f>
        <v>665.25274995945881</v>
      </c>
      <c r="Y40" s="5"/>
      <c r="Z40" s="5"/>
      <c r="AA40" s="5"/>
      <c r="AB40" s="5"/>
    </row>
    <row r="41" spans="1:28" ht="12.6" customHeight="1">
      <c r="A41" s="184">
        <v>9</v>
      </c>
      <c r="B41" s="652" t="s">
        <v>539</v>
      </c>
      <c r="C41" s="646">
        <f>AVERAGE(D41:W41)</f>
        <v>262.8704115564712</v>
      </c>
      <c r="D41" s="882">
        <f>'Project Assumptions'!$N$24*D6/12</f>
        <v>83.333333333333329</v>
      </c>
      <c r="E41" s="883">
        <f>IF(E3&gt;ProjectLife+1,0,'Project Assumptions'!$N$24*((1+OM_Escal)^(E4-'Project Assumptions'!$N$6))*E5/12)</f>
        <v>206</v>
      </c>
      <c r="F41" s="883">
        <f>IF(F3&gt;ProjectLife+1,0,'Project Assumptions'!$N$24*((1+OM_Escal)^(F4-'Project Assumptions'!$N$6))*F5/12)</f>
        <v>212.17999999999998</v>
      </c>
      <c r="G41" s="883">
        <f>IF(G3&gt;ProjectLife+1,0,'Project Assumptions'!$N$24*((1+OM_Escal)^(G4-'Project Assumptions'!$N$6))*G5/12)</f>
        <v>218.5454</v>
      </c>
      <c r="H41" s="883">
        <f>IF(H3&gt;ProjectLife+1,0,'Project Assumptions'!$N$24*((1+OM_Escal)^(H4-'Project Assumptions'!$N$6))*H5/12)</f>
        <v>225.10176199999998</v>
      </c>
      <c r="I41" s="883">
        <f>IF(I3&gt;ProjectLife+1,0,'Project Assumptions'!$N$24*((1+OM_Escal)^(I4-'Project Assumptions'!$N$6))*I5/12)</f>
        <v>231.85481485999995</v>
      </c>
      <c r="J41" s="883">
        <f>IF(J3&gt;ProjectLife+1,0,'Project Assumptions'!$N$24*((1+OM_Escal)^(J4-'Project Assumptions'!$N$6))*J5/12)</f>
        <v>238.81045930579998</v>
      </c>
      <c r="K41" s="883">
        <f>IF(K3&gt;ProjectLife+1,0,'Project Assumptions'!$N$24*((1+OM_Escal)^(K4-'Project Assumptions'!$N$6))*K5/12)</f>
        <v>245.974773084974</v>
      </c>
      <c r="L41" s="883">
        <f>IF(L3&gt;ProjectLife+1,0,'Project Assumptions'!$N$24*((1+OM_Escal)^(L4-'Project Assumptions'!$N$6))*L5/12)</f>
        <v>253.35401627752319</v>
      </c>
      <c r="M41" s="883">
        <f>IF(M3&gt;ProjectLife+1,0,'Project Assumptions'!$N$24*((1+OM_Escal)^(M4-'Project Assumptions'!$N$6))*M5/12)</f>
        <v>260.95463676584887</v>
      </c>
      <c r="N41" s="883">
        <f>IF(N3&gt;ProjectLife+1,0,'Project Assumptions'!$N$24*((1+OM_Escal)^(N4-'Project Assumptions'!$N$6))*N5/12)</f>
        <v>268.78327586882438</v>
      </c>
      <c r="O41" s="883">
        <f>IF(O3&gt;ProjectLife+1,0,'Project Assumptions'!$N$24*((1+OM_Escal)^(O4-'Project Assumptions'!$N$6))*O5/12)</f>
        <v>276.84677414488908</v>
      </c>
      <c r="P41" s="883">
        <f>IF(P3&gt;ProjectLife+1,0,'Project Assumptions'!$N$24*((1+OM_Escal)^(P4-'Project Assumptions'!$N$6))*P5/12)</f>
        <v>285.15217736923574</v>
      </c>
      <c r="Q41" s="883">
        <f>IF(Q3&gt;ProjectLife+1,0,'Project Assumptions'!$N$24*((1+OM_Escal)^(Q4-'Project Assumptions'!$N$6))*Q5/12)</f>
        <v>293.70674269031281</v>
      </c>
      <c r="R41" s="883">
        <f>IF(R3&gt;ProjectLife+1,0,'Project Assumptions'!$N$24*((1+OM_Escal)^(R4-'Project Assumptions'!$N$6))*R5/12)</f>
        <v>302.51794497102219</v>
      </c>
      <c r="S41" s="883">
        <f>IF(S3&gt;ProjectLife+1,0,'Project Assumptions'!$N$24*((1+OM_Escal)^(S4-'Project Assumptions'!$N$6))*S5/12)</f>
        <v>311.59348332015287</v>
      </c>
      <c r="T41" s="883">
        <f>IF(T3&gt;ProjectLife+1,0,'Project Assumptions'!$N$24*((1+OM_Escal)^(T4-'Project Assumptions'!$N$6))*T5/12)</f>
        <v>320.94128781975741</v>
      </c>
      <c r="U41" s="883">
        <f>IF(U3&gt;ProjectLife+1,0,'Project Assumptions'!$N$24*((1+OM_Escal)^(U4-'Project Assumptions'!$N$6))*U5/12)</f>
        <v>330.56952645435013</v>
      </c>
      <c r="V41" s="883">
        <f>IF(V3&gt;ProjectLife+1,0,'Project Assumptions'!$N$24*((1+OM_Escal)^(V4-'Project Assumptions'!$N$6))*V5/12)</f>
        <v>340.48661224798064</v>
      </c>
      <c r="W41" s="883">
        <f>IF(W3&gt;ProjectLife+1,0,'Project Assumptions'!$N$24*((1+OM_Escal)^(W4-'Project Assumptions'!$N$6))*W5/12)</f>
        <v>350.70121061542005</v>
      </c>
      <c r="X41" s="884">
        <f>IF(X3&gt;ProjectLife+1,0,'Project Assumptions'!$N$24*((1+OM_Escal)^(X4-'Project Assumptions'!$N$6))*X5/12)</f>
        <v>361.22224693388267</v>
      </c>
      <c r="Y41" s="5"/>
      <c r="Z41" s="5"/>
      <c r="AA41" s="5"/>
      <c r="AB41" s="5"/>
    </row>
    <row r="42" spans="1:28" ht="12.6" customHeight="1">
      <c r="B42" s="881" t="s">
        <v>580</v>
      </c>
      <c r="C42" s="646"/>
      <c r="D42" s="1102">
        <f>SUM(D37:D41)</f>
        <v>439.32965686274508</v>
      </c>
      <c r="E42" s="1102">
        <f t="shared" ref="E42:X42" si="7">SUM(E37:E41)</f>
        <v>1086.0229117647059</v>
      </c>
      <c r="F42" s="1102">
        <f t="shared" si="7"/>
        <v>1118.603599117647</v>
      </c>
      <c r="G42" s="1102">
        <f t="shared" si="7"/>
        <v>1152.1617070911766</v>
      </c>
      <c r="H42" s="1102">
        <f t="shared" si="7"/>
        <v>1428.5552783039118</v>
      </c>
      <c r="I42" s="1102">
        <f t="shared" si="7"/>
        <v>1649.3287806530291</v>
      </c>
      <c r="J42" s="1102">
        <f t="shared" si="7"/>
        <v>1698.8086440726199</v>
      </c>
      <c r="K42" s="1102">
        <f t="shared" si="7"/>
        <v>1749.7729033947987</v>
      </c>
      <c r="L42" s="1102">
        <f t="shared" si="7"/>
        <v>1802.2660904966424</v>
      </c>
      <c r="M42" s="1102">
        <f t="shared" si="7"/>
        <v>1856.3340732115416</v>
      </c>
      <c r="N42" s="1102">
        <f t="shared" si="7"/>
        <v>1912.0240954078879</v>
      </c>
      <c r="O42" s="1102">
        <f t="shared" si="7"/>
        <v>1969.3848182701245</v>
      </c>
      <c r="P42" s="1102">
        <f t="shared" si="7"/>
        <v>2028.4663628182282</v>
      </c>
      <c r="Q42" s="1102">
        <f t="shared" si="7"/>
        <v>2089.3203537027748</v>
      </c>
      <c r="R42" s="1102">
        <f t="shared" si="7"/>
        <v>2151.9999643138581</v>
      </c>
      <c r="S42" s="1102">
        <f t="shared" si="7"/>
        <v>2216.5599632432741</v>
      </c>
      <c r="T42" s="1102">
        <f t="shared" si="7"/>
        <v>2283.0567621405721</v>
      </c>
      <c r="U42" s="1102">
        <f t="shared" si="7"/>
        <v>2351.5484650047893</v>
      </c>
      <c r="V42" s="1102">
        <f t="shared" si="7"/>
        <v>2422.0949189549328</v>
      </c>
      <c r="W42" s="1102">
        <f t="shared" si="7"/>
        <v>2494.7577665235813</v>
      </c>
      <c r="X42" s="1103">
        <f t="shared" si="7"/>
        <v>2569.6004995192884</v>
      </c>
      <c r="Y42" s="94"/>
      <c r="Z42" s="94"/>
      <c r="AA42" s="94"/>
      <c r="AB42" s="94"/>
    </row>
    <row r="43" spans="1:28" ht="12.6" customHeight="1">
      <c r="B43" s="652"/>
      <c r="C43" s="646"/>
      <c r="D43" s="805"/>
      <c r="E43" s="805"/>
      <c r="F43" s="805"/>
      <c r="G43" s="805"/>
      <c r="H43" s="805"/>
      <c r="I43" s="805"/>
      <c r="J43" s="805"/>
      <c r="K43" s="805"/>
      <c r="L43" s="805"/>
      <c r="M43" s="805"/>
      <c r="N43" s="805"/>
      <c r="O43" s="805"/>
      <c r="P43" s="805"/>
      <c r="Q43" s="805"/>
      <c r="R43" s="805"/>
      <c r="S43" s="805"/>
      <c r="T43" s="805"/>
      <c r="U43" s="805"/>
      <c r="V43" s="805"/>
      <c r="W43" s="805"/>
      <c r="X43" s="806"/>
      <c r="Y43" s="11"/>
      <c r="Z43" s="11"/>
      <c r="AA43" s="11"/>
      <c r="AB43" s="11"/>
    </row>
    <row r="44" spans="1:28" ht="12.6" customHeight="1">
      <c r="B44" s="881" t="s">
        <v>574</v>
      </c>
      <c r="C44" s="646"/>
      <c r="D44" s="805"/>
      <c r="E44" s="805"/>
      <c r="F44" s="805"/>
      <c r="G44" s="805"/>
      <c r="H44" s="805"/>
      <c r="I44" s="805"/>
      <c r="J44" s="805"/>
      <c r="K44" s="805"/>
      <c r="L44" s="805"/>
      <c r="M44" s="805"/>
      <c r="N44" s="805"/>
      <c r="O44" s="805"/>
      <c r="P44" s="805"/>
      <c r="Q44" s="805"/>
      <c r="R44" s="805"/>
      <c r="S44" s="805"/>
      <c r="T44" s="805"/>
      <c r="U44" s="805"/>
      <c r="V44" s="805"/>
      <c r="W44" s="805"/>
      <c r="X44" s="806"/>
      <c r="Y44" s="11"/>
      <c r="Z44" s="11"/>
      <c r="AA44" s="11"/>
      <c r="AB44" s="11"/>
    </row>
    <row r="45" spans="1:28" ht="12.6" customHeight="1">
      <c r="A45" s="184">
        <v>6</v>
      </c>
      <c r="B45" s="652" t="s">
        <v>130</v>
      </c>
      <c r="C45" s="646">
        <f>AVERAGE(D45:W45)</f>
        <v>336.15868229841533</v>
      </c>
      <c r="D45" s="799">
        <f>IF(D3&gt;ProjectLife+1,0,'Project Assumptions'!$N$32*((1+OM_Escal)^(D4-'Project Assumptions'!$N$6))*D5/12)</f>
        <v>106.56666666666666</v>
      </c>
      <c r="E45" s="799">
        <f>IF(E3&gt;ProjectLife+1,0,'Project Assumptions'!$N$32*((1+OM_Escal)^(E4-'Project Assumptions'!$N$6))*E5/12)</f>
        <v>263.43279999999999</v>
      </c>
      <c r="F45" s="799">
        <f>IF(F3&gt;ProjectLife+1,0,'Project Assumptions'!$N$32*((1+OM_Escal)^(F4-'Project Assumptions'!$N$6))*F5/12)</f>
        <v>271.33578399999999</v>
      </c>
      <c r="G45" s="799">
        <f>IF(G3&gt;ProjectLife+1,0,'Project Assumptions'!$N$32*((1+OM_Escal)^(G4-'Project Assumptions'!$N$6))*G5/12)</f>
        <v>279.47585751999998</v>
      </c>
      <c r="H45" s="799">
        <f>IF(H3&gt;ProjectLife+1,0,'Project Assumptions'!$N$32*((1+OM_Escal)^(H4-'Project Assumptions'!$N$6))*H5/12)</f>
        <v>287.86013324559997</v>
      </c>
      <c r="I45" s="799">
        <f>IF(I3&gt;ProjectLife+1,0,'Project Assumptions'!$N$32*((1+OM_Escal)^(I4-'Project Assumptions'!$N$6))*I5/12)</f>
        <v>296.49593724296795</v>
      </c>
      <c r="J45" s="799">
        <f>IF(J3&gt;ProjectLife+1,0,'Project Assumptions'!$N$32*((1+OM_Escal)^(J4-'Project Assumptions'!$N$6))*J5/12)</f>
        <v>305.39081536025702</v>
      </c>
      <c r="K45" s="799">
        <f>IF(K3&gt;ProjectLife+1,0,'Project Assumptions'!$N$32*((1+OM_Escal)^(K4-'Project Assumptions'!$N$6))*K5/12)</f>
        <v>314.55253982106473</v>
      </c>
      <c r="L45" s="799">
        <f>IF(L3&gt;ProjectLife+1,0,'Project Assumptions'!$N$32*((1+OM_Escal)^(L4-'Project Assumptions'!$N$6))*L5/12)</f>
        <v>323.98911601569665</v>
      </c>
      <c r="M45" s="799">
        <f>IF(M3&gt;ProjectLife+1,0,'Project Assumptions'!$N$32*((1+OM_Escal)^(M4-'Project Assumptions'!$N$6))*M5/12)</f>
        <v>333.70878949616753</v>
      </c>
      <c r="N45" s="799">
        <f>IF(N3&gt;ProjectLife+1,0,'Project Assumptions'!$N$32*((1+OM_Escal)^(N4-'Project Assumptions'!$N$6))*N5/12)</f>
        <v>343.72005318105249</v>
      </c>
      <c r="O45" s="799">
        <f>IF(O3&gt;ProjectLife+1,0,'Project Assumptions'!$N$32*((1+OM_Escal)^(O4-'Project Assumptions'!$N$6))*O5/12)</f>
        <v>354.03165477648417</v>
      </c>
      <c r="P45" s="799">
        <f>IF(P3&gt;ProjectLife+1,0,'Project Assumptions'!$N$32*((1+OM_Escal)^(P4-'Project Assumptions'!$N$6))*P5/12)</f>
        <v>364.6526044197787</v>
      </c>
      <c r="Q45" s="799">
        <f>IF(Q3&gt;ProjectLife+1,0,'Project Assumptions'!$N$32*((1+OM_Escal)^(Q4-'Project Assumptions'!$N$6))*Q5/12)</f>
        <v>375.59218255237198</v>
      </c>
      <c r="R45" s="799">
        <f>IF(R3&gt;ProjectLife+1,0,'Project Assumptions'!$N$32*((1+OM_Escal)^(R4-'Project Assumptions'!$N$6))*R5/12)</f>
        <v>386.85994802894317</v>
      </c>
      <c r="S45" s="799">
        <f>IF(S3&gt;ProjectLife+1,0,'Project Assumptions'!$N$32*((1+OM_Escal)^(S4-'Project Assumptions'!$N$6))*S5/12)</f>
        <v>398.46574646981145</v>
      </c>
      <c r="T45" s="799">
        <f>IF(T3&gt;ProjectLife+1,0,'Project Assumptions'!$N$32*((1+OM_Escal)^(T4-'Project Assumptions'!$N$6))*T5/12)</f>
        <v>410.41971886390576</v>
      </c>
      <c r="U45" s="799">
        <f>IF(U3&gt;ProjectLife+1,0,'Project Assumptions'!$N$32*((1+OM_Escal)^(U4-'Project Assumptions'!$N$6))*U5/12)</f>
        <v>422.73231042982292</v>
      </c>
      <c r="V45" s="799">
        <f>IF(V3&gt;ProjectLife+1,0,'Project Assumptions'!$N$32*((1+OM_Escal)^(V4-'Project Assumptions'!$N$6))*V5/12)</f>
        <v>435.41427974271761</v>
      </c>
      <c r="W45" s="799">
        <f>IF(W3&gt;ProjectLife+1,0,'Project Assumptions'!$N$32*((1+OM_Escal)^(W4-'Project Assumptions'!$N$6))*W5/12)</f>
        <v>448.47670813499917</v>
      </c>
      <c r="X45" s="800">
        <f>IF(X3&gt;ProjectLife+1,0,'Project Assumptions'!$N$32*((1+OM_Escal)^(X4-'Project Assumptions'!$N$6))*X5/12)</f>
        <v>461.9310093790491</v>
      </c>
      <c r="Y45" s="94"/>
      <c r="Z45" s="94"/>
      <c r="AA45" s="94"/>
      <c r="AB45" s="94"/>
    </row>
    <row r="46" spans="1:28" ht="12.6" customHeight="1">
      <c r="A46" s="184">
        <v>7</v>
      </c>
      <c r="B46" s="652" t="s">
        <v>422</v>
      </c>
      <c r="C46" s="646"/>
      <c r="D46" s="799">
        <f>'Project Assumptions'!$N$33</f>
        <v>44.112029999999997</v>
      </c>
      <c r="E46" s="799">
        <f>IF(E3&gt;ProjectLife+1,0,'Project Assumptions'!$N$33*((1+Opcostescalation)^(E4-'Project Assumptions'!$N$6)))</f>
        <v>45.435390900000002</v>
      </c>
      <c r="F46" s="799">
        <f>IF(F3&gt;ProjectLife+1,0,'Project Assumptions'!$N$33*((1+Opcostescalation)^(F4-'Project Assumptions'!$N$6)))</f>
        <v>46.798452626999996</v>
      </c>
      <c r="G46" s="799">
        <f>IF(G3&gt;ProjectLife+1,0,'Project Assumptions'!$N$33*((1+Opcostescalation)^(G4-'Project Assumptions'!$N$6)))</f>
        <v>48.20240620581</v>
      </c>
      <c r="H46" s="799">
        <f>IF(H3&gt;ProjectLife+1,0,'Project Assumptions'!$N$33*((1+Opcostescalation)^(H4-'Project Assumptions'!$N$6)))</f>
        <v>49.648478391984291</v>
      </c>
      <c r="I46" s="799">
        <f>IF(I3&gt;ProjectLife+1,0,'Project Assumptions'!$N$33*((1+Opcostescalation)^(I4-'Project Assumptions'!$N$6)))</f>
        <v>51.137932743743818</v>
      </c>
      <c r="J46" s="799">
        <f>IF(J3&gt;ProjectLife+1,0,'Project Assumptions'!$N$33*((1+Opcostescalation)^(J4-'Project Assumptions'!$N$6)))</f>
        <v>52.672070726056134</v>
      </c>
      <c r="K46" s="799">
        <f>IF(K3&gt;ProjectLife+1,0,'Project Assumptions'!$N$33*((1+Opcostescalation)^(K4-'Project Assumptions'!$N$6)))</f>
        <v>54.252232847837824</v>
      </c>
      <c r="L46" s="799">
        <f>IF(L3&gt;ProjectLife+1,0,'Project Assumptions'!$N$33*((1+Opcostescalation)^(L4-'Project Assumptions'!$N$6)))</f>
        <v>55.879799833272955</v>
      </c>
      <c r="M46" s="799">
        <f>IF(M3&gt;ProjectLife+1,0,'Project Assumptions'!$N$33*((1+Opcostescalation)^(M4-'Project Assumptions'!$N$6)))</f>
        <v>57.556193828271141</v>
      </c>
      <c r="N46" s="799">
        <f>IF(N3&gt;ProjectLife+1,0,'Project Assumptions'!$N$33*((1+Opcostescalation)^(N4-'Project Assumptions'!$N$6)))</f>
        <v>59.28287964311928</v>
      </c>
      <c r="O46" s="799">
        <f>IF(O3&gt;ProjectLife+1,0,'Project Assumptions'!$N$33*((1+Opcostescalation)^(O4-'Project Assumptions'!$N$6)))</f>
        <v>61.061366032412856</v>
      </c>
      <c r="P46" s="799">
        <f>IF(P3&gt;ProjectLife+1,0,'Project Assumptions'!$N$33*((1+Opcostescalation)^(P4-'Project Assumptions'!$N$6)))</f>
        <v>62.893207013385236</v>
      </c>
      <c r="Q46" s="799">
        <f>IF(Q3&gt;ProjectLife+1,0,'Project Assumptions'!$N$33*((1+Opcostescalation)^(Q4-'Project Assumptions'!$N$6)))</f>
        <v>64.780003223786792</v>
      </c>
      <c r="R46" s="799">
        <f>IF(R3&gt;ProjectLife+1,0,'Project Assumptions'!$N$33*((1+Opcostescalation)^(R4-'Project Assumptions'!$N$6)))</f>
        <v>66.723403320500395</v>
      </c>
      <c r="S46" s="799">
        <f>IF(S3&gt;ProjectLife+1,0,'Project Assumptions'!$N$33*((1+Opcostescalation)^(S4-'Project Assumptions'!$N$6)))</f>
        <v>68.725105420115412</v>
      </c>
      <c r="T46" s="799">
        <f>IF(T3&gt;ProjectLife+1,0,'Project Assumptions'!$N$33*((1+Opcostescalation)^(T4-'Project Assumptions'!$N$6)))</f>
        <v>70.786858582718864</v>
      </c>
      <c r="U46" s="799">
        <f>IF(U3&gt;ProjectLife+1,0,'Project Assumptions'!$N$33*((1+Opcostescalation)^(U4-'Project Assumptions'!$N$6)))</f>
        <v>72.910464340200434</v>
      </c>
      <c r="V46" s="799">
        <f>IF(V3&gt;ProjectLife+1,0,'Project Assumptions'!$N$33*((1+Opcostescalation)^(V4-'Project Assumptions'!$N$6)))</f>
        <v>75.097778270406451</v>
      </c>
      <c r="W46" s="799">
        <f>IF(W3&gt;ProjectLife+1,0,'Project Assumptions'!$N$33*((1+Opcostescalation)^(W4-'Project Assumptions'!$N$6)))</f>
        <v>77.350711618518631</v>
      </c>
      <c r="X46" s="800">
        <f>IF(X3&gt;ProjectLife+1,0,'Project Assumptions'!$N$33*((1+Opcostescalation)^(X4-'Project Assumptions'!$N$6)))</f>
        <v>79.671232967074189</v>
      </c>
      <c r="Y46" s="5"/>
      <c r="Z46" s="5"/>
      <c r="AA46" s="5"/>
      <c r="AB46" s="5"/>
    </row>
    <row r="47" spans="1:28" ht="12.6" customHeight="1">
      <c r="A47" s="184">
        <v>7</v>
      </c>
      <c r="B47" s="652" t="s">
        <v>423</v>
      </c>
      <c r="C47" s="646"/>
      <c r="D47" s="799">
        <f>'Project Assumptions'!$N$34*(D5/12)</f>
        <v>99.258458333333337</v>
      </c>
      <c r="E47" s="799">
        <f>IF(E3&gt;ProjectLife+1,0,'Project Assumptions'!$N$34*((1+Opcostescalation)^(E4-'Project Assumptions'!$N$6))*E5/12)</f>
        <v>245.36690899999999</v>
      </c>
      <c r="F47" s="799">
        <f>IF(F3&gt;ProjectLife+1,0,'Project Assumptions'!$N$34*((1+Opcostescalation)^(F4-'Project Assumptions'!$N$6))*F5/12)</f>
        <v>252.72791627000001</v>
      </c>
      <c r="G47" s="799">
        <f>IF(G3&gt;ProjectLife+1,0,'Project Assumptions'!$N$34*((1+Opcostescalation)^(G4-'Project Assumptions'!$N$6))*G5/12)</f>
        <v>260.30975375809999</v>
      </c>
      <c r="H47" s="799">
        <f>IF(H3&gt;ProjectLife+1,0,'Project Assumptions'!$N$34*((1+Opcostescalation)^(H4-'Project Assumptions'!$N$6))*H5/12)</f>
        <v>268.11904637084297</v>
      </c>
      <c r="I47" s="799">
        <f>IF(I3&gt;ProjectLife+1,0,'Project Assumptions'!$N$34*((1+Opcostescalation)^(I4-'Project Assumptions'!$N$6))*I5/12)</f>
        <v>276.16261776196825</v>
      </c>
      <c r="J47" s="799">
        <f>IF(J3&gt;ProjectLife+1,0,'Project Assumptions'!$N$34*((1+Opcostescalation)^(J4-'Project Assumptions'!$N$6))*J5/12)</f>
        <v>284.44749629482732</v>
      </c>
      <c r="K47" s="799">
        <f>IF(K3&gt;ProjectLife+1,0,'Project Assumptions'!$N$34*((1+Opcostescalation)^(K4-'Project Assumptions'!$N$6))*K5/12)</f>
        <v>292.98092118367214</v>
      </c>
      <c r="L47" s="799">
        <f>IF(L3&gt;ProjectLife+1,0,'Project Assumptions'!$N$34*((1+Opcostescalation)^(L4-'Project Assumptions'!$N$6))*L5/12)</f>
        <v>301.77034881918229</v>
      </c>
      <c r="M47" s="799">
        <f>IF(M3&gt;ProjectLife+1,0,'Project Assumptions'!$N$34*((1+Opcostescalation)^(M4-'Project Assumptions'!$N$6))*M5/12)</f>
        <v>310.82345928375776</v>
      </c>
      <c r="N47" s="799">
        <f>IF(N3&gt;ProjectLife+1,0,'Project Assumptions'!$N$34*((1+Opcostescalation)^(N4-'Project Assumptions'!$N$6))*N5/12)</f>
        <v>320.1481630622705</v>
      </c>
      <c r="O47" s="799">
        <f>IF(O3&gt;ProjectLife+1,0,'Project Assumptions'!$N$34*((1+Opcostescalation)^(O4-'Project Assumptions'!$N$6))*O5/12)</f>
        <v>329.75260795413863</v>
      </c>
      <c r="P47" s="799">
        <f>IF(P3&gt;ProjectLife+1,0,'Project Assumptions'!$N$34*((1+Opcostescalation)^(P4-'Project Assumptions'!$N$6))*P5/12)</f>
        <v>339.64518619276276</v>
      </c>
      <c r="Q47" s="799">
        <f>IF(Q3&gt;ProjectLife+1,0,'Project Assumptions'!$N$34*((1+Opcostescalation)^(Q4-'Project Assumptions'!$N$6))*Q5/12)</f>
        <v>349.8345417785456</v>
      </c>
      <c r="R47" s="799">
        <f>IF(R3&gt;ProjectLife+1,0,'Project Assumptions'!$N$34*((1+Opcostescalation)^(R4-'Project Assumptions'!$N$6))*R5/12)</f>
        <v>360.32957803190203</v>
      </c>
      <c r="S47" s="799">
        <f>IF(S3&gt;ProjectLife+1,0,'Project Assumptions'!$N$34*((1+Opcostescalation)^(S4-'Project Assumptions'!$N$6))*S5/12)</f>
        <v>371.13946537285909</v>
      </c>
      <c r="T47" s="799">
        <f>IF(T3&gt;ProjectLife+1,0,'Project Assumptions'!$N$34*((1+Opcostescalation)^(T4-'Project Assumptions'!$N$6))*T5/12)</f>
        <v>382.27364933404482</v>
      </c>
      <c r="U47" s="799">
        <f>IF(U3&gt;ProjectLife+1,0,'Project Assumptions'!$N$34*((1+Opcostescalation)^(U4-'Project Assumptions'!$N$6))*U5/12)</f>
        <v>393.74185881406612</v>
      </c>
      <c r="V47" s="799">
        <f>IF(V3&gt;ProjectLife+1,0,'Project Assumptions'!$N$34*((1+Opcostescalation)^(V4-'Project Assumptions'!$N$6))*V5/12)</f>
        <v>405.55411457848805</v>
      </c>
      <c r="W47" s="799">
        <f>IF(W3&gt;ProjectLife+1,0,'Project Assumptions'!$N$34*((1+Opcostescalation)^(W4-'Project Assumptions'!$N$6))*W5/12)</f>
        <v>417.72073801584276</v>
      </c>
      <c r="X47" s="800">
        <f>IF(X3&gt;ProjectLife+1,0,'Project Assumptions'!$N$34*((1+Opcostescalation)^(X4-'Project Assumptions'!$N$6))*X5/12)</f>
        <v>430.25236015631805</v>
      </c>
      <c r="Y47" s="5"/>
      <c r="Z47" s="5"/>
      <c r="AA47" s="5"/>
      <c r="AB47" s="5"/>
    </row>
    <row r="48" spans="1:28" ht="12.6" customHeight="1">
      <c r="A48" s="184">
        <v>7</v>
      </c>
      <c r="B48" s="652" t="s">
        <v>77</v>
      </c>
      <c r="C48" s="646"/>
      <c r="D48" s="799">
        <f>'Project Assumptions'!$N$35*(D6/12)</f>
        <v>41.666666666666671</v>
      </c>
      <c r="E48" s="799">
        <f>IF(E3&gt;ProjectLife+1,0,'Project Assumptions'!$N$35*((1+Opcostescalation)^(E4-'Project Assumptions'!$N$6))*E5/12)</f>
        <v>103</v>
      </c>
      <c r="F48" s="799">
        <f>IF(F3&gt;ProjectLife+1,0,'Project Assumptions'!$N$35*((1+Opcostescalation)^(F4-'Project Assumptions'!$N$6))*F5/12)</f>
        <v>106.08999999999999</v>
      </c>
      <c r="G48" s="799">
        <f>IF(G3&gt;ProjectLife+1,0,'Project Assumptions'!$N$35*((1+Opcostescalation)^(G4-'Project Assumptions'!$N$6))*G5/12)</f>
        <v>109.2727</v>
      </c>
      <c r="H48" s="799">
        <f>IF(H3&gt;ProjectLife+1,0,'Project Assumptions'!$N$35*((1+Opcostescalation)^(H4-'Project Assumptions'!$N$6))*H5/12)</f>
        <v>112.55088099999999</v>
      </c>
      <c r="I48" s="799">
        <f>IF(I3&gt;ProjectLife+1,0,'Project Assumptions'!$N$35*((1+Opcostescalation)^(I4-'Project Assumptions'!$N$6))*I5/12)</f>
        <v>115.92740742999997</v>
      </c>
      <c r="J48" s="799">
        <f>IF(J3&gt;ProjectLife+1,0,'Project Assumptions'!$N$35*((1+Opcostescalation)^(J4-'Project Assumptions'!$N$6))*J5/12)</f>
        <v>119.40522965289999</v>
      </c>
      <c r="K48" s="799">
        <f>IF(K3&gt;ProjectLife+1,0,'Project Assumptions'!$N$35*((1+Opcostescalation)^(K4-'Project Assumptions'!$N$6))*K5/12)</f>
        <v>122.987386542487</v>
      </c>
      <c r="L48" s="799">
        <f>IF(L3&gt;ProjectLife+1,0,'Project Assumptions'!$N$35*((1+Opcostescalation)^(L4-'Project Assumptions'!$N$6))*L5/12)</f>
        <v>126.67700813876159</v>
      </c>
      <c r="M48" s="799">
        <f>IF(M3&gt;ProjectLife+1,0,'Project Assumptions'!$N$35*((1+Opcostescalation)^(M4-'Project Assumptions'!$N$6))*M5/12)</f>
        <v>130.47731838292444</v>
      </c>
      <c r="N48" s="799">
        <f>IF(N3&gt;ProjectLife+1,0,'Project Assumptions'!$N$35*((1+Opcostescalation)^(N4-'Project Assumptions'!$N$6))*N5/12)</f>
        <v>134.39163793441219</v>
      </c>
      <c r="O48" s="799">
        <f>IF(O3&gt;ProjectLife+1,0,'Project Assumptions'!$N$35*((1+Opcostescalation)^(O4-'Project Assumptions'!$N$6))*O5/12)</f>
        <v>138.42338707244454</v>
      </c>
      <c r="P48" s="799">
        <f>IF(P3&gt;ProjectLife+1,0,'Project Assumptions'!$N$35*((1+Opcostescalation)^(P4-'Project Assumptions'!$N$6))*P5/12)</f>
        <v>142.57608868461787</v>
      </c>
      <c r="Q48" s="799">
        <f>IF(Q3&gt;ProjectLife+1,0,'Project Assumptions'!$N$35*((1+Opcostescalation)^(Q4-'Project Assumptions'!$N$6))*Q5/12)</f>
        <v>146.8533713451564</v>
      </c>
      <c r="R48" s="799">
        <f>IF(R3&gt;ProjectLife+1,0,'Project Assumptions'!$N$35*((1+Opcostescalation)^(R4-'Project Assumptions'!$N$6))*R5/12)</f>
        <v>151.25897248551109</v>
      </c>
      <c r="S48" s="799">
        <f>IF(S3&gt;ProjectLife+1,0,'Project Assumptions'!$N$35*((1+Opcostescalation)^(S4-'Project Assumptions'!$N$6))*S5/12)</f>
        <v>155.79674166007644</v>
      </c>
      <c r="T48" s="799">
        <f>IF(T3&gt;ProjectLife+1,0,'Project Assumptions'!$N$35*((1+Opcostescalation)^(T4-'Project Assumptions'!$N$6))*T5/12)</f>
        <v>160.4706439098787</v>
      </c>
      <c r="U48" s="799">
        <f>IF(U3&gt;ProjectLife+1,0,'Project Assumptions'!$N$35*((1+Opcostescalation)^(U4-'Project Assumptions'!$N$6))*U5/12)</f>
        <v>165.28476322717506</v>
      </c>
      <c r="V48" s="799">
        <f>IF(V3&gt;ProjectLife+1,0,'Project Assumptions'!$N$35*((1+Opcostescalation)^(V4-'Project Assumptions'!$N$6))*V5/12)</f>
        <v>170.24330612399032</v>
      </c>
      <c r="W48" s="799">
        <f>IF(W3&gt;ProjectLife+1,0,'Project Assumptions'!$N$35*((1+Opcostescalation)^(W4-'Project Assumptions'!$N$6))*W5/12)</f>
        <v>175.35060530771003</v>
      </c>
      <c r="X48" s="800">
        <f>IF(X3&gt;ProjectLife+1,0,'Project Assumptions'!$N$35*((1+Opcostescalation)^(X4-'Project Assumptions'!$N$6))*X5/12)</f>
        <v>180.61112346694134</v>
      </c>
      <c r="Y48" s="5"/>
      <c r="Z48" s="5"/>
      <c r="AA48" s="5"/>
      <c r="AB48" s="5"/>
    </row>
    <row r="49" spans="1:28" ht="12.6" customHeight="1">
      <c r="A49" s="184">
        <v>7</v>
      </c>
      <c r="B49" s="652" t="s">
        <v>495</v>
      </c>
      <c r="C49" s="646"/>
      <c r="D49" s="799">
        <f>'Project Assumptions'!$N$36*(D6/12)</f>
        <v>12.5</v>
      </c>
      <c r="E49" s="799">
        <f>IF(E3&gt;ProjectLife+1,0,'Project Assumptions'!$N$36*((1+Opcostescalation)^(E4-'Project Assumptions'!$N$6))*E5/12)</f>
        <v>30.900000000000002</v>
      </c>
      <c r="F49" s="799">
        <f>IF(F3&gt;ProjectLife+1,0,'Project Assumptions'!$N$36*((1+Opcostescalation)^(F4-'Project Assumptions'!$N$6))*F5/12)</f>
        <v>31.826999999999998</v>
      </c>
      <c r="G49" s="799">
        <f>IF(G3&gt;ProjectLife+1,0,'Project Assumptions'!$N$36*((1+Opcostescalation)^(G4-'Project Assumptions'!$N$6))*G5/12)</f>
        <v>32.78181</v>
      </c>
      <c r="H49" s="799">
        <f>IF(H3&gt;ProjectLife+1,0,'Project Assumptions'!$N$36*((1+Opcostescalation)^(H4-'Project Assumptions'!$N$6))*H5/12)</f>
        <v>33.765264299999998</v>
      </c>
      <c r="I49" s="799">
        <f>IF(I3&gt;ProjectLife+1,0,'Project Assumptions'!$N$36*((1+Opcostescalation)^(I4-'Project Assumptions'!$N$6))*I5/12)</f>
        <v>34.778222228999994</v>
      </c>
      <c r="J49" s="799">
        <f>IF(J3&gt;ProjectLife+1,0,'Project Assumptions'!$N$36*((1+Opcostescalation)^(J4-'Project Assumptions'!$N$6))*J5/12)</f>
        <v>35.821568895869994</v>
      </c>
      <c r="K49" s="799">
        <f>IF(K3&gt;ProjectLife+1,0,'Project Assumptions'!$N$36*((1+Opcostescalation)^(K4-'Project Assumptions'!$N$6))*K5/12)</f>
        <v>36.896215962746098</v>
      </c>
      <c r="L49" s="799">
        <f>IF(L3&gt;ProjectLife+1,0,'Project Assumptions'!$N$36*((1+Opcostescalation)^(L4-'Project Assumptions'!$N$6))*L5/12)</f>
        <v>38.003102441628478</v>
      </c>
      <c r="M49" s="799">
        <f>IF(M3&gt;ProjectLife+1,0,'Project Assumptions'!$N$36*((1+Opcostescalation)^(M4-'Project Assumptions'!$N$6))*M5/12)</f>
        <v>39.143195514877334</v>
      </c>
      <c r="N49" s="799">
        <f>IF(N3&gt;ProjectLife+1,0,'Project Assumptions'!$N$36*((1+Opcostescalation)^(N4-'Project Assumptions'!$N$6))*N5/12)</f>
        <v>40.317491380323652</v>
      </c>
      <c r="O49" s="799">
        <f>IF(O3&gt;ProjectLife+1,0,'Project Assumptions'!$N$36*((1+Opcostescalation)^(O4-'Project Assumptions'!$N$6))*O5/12)</f>
        <v>41.527016121733368</v>
      </c>
      <c r="P49" s="799">
        <f>IF(P3&gt;ProjectLife+1,0,'Project Assumptions'!$N$36*((1+Opcostescalation)^(P4-'Project Assumptions'!$N$6))*P5/12)</f>
        <v>42.772826605385355</v>
      </c>
      <c r="Q49" s="799">
        <f>IF(Q3&gt;ProjectLife+1,0,'Project Assumptions'!$N$36*((1+Opcostescalation)^(Q4-'Project Assumptions'!$N$6))*Q5/12)</f>
        <v>44.056011403546925</v>
      </c>
      <c r="R49" s="799">
        <f>IF(R3&gt;ProjectLife+1,0,'Project Assumptions'!$N$36*((1+Opcostescalation)^(R4-'Project Assumptions'!$N$6))*R5/12)</f>
        <v>45.37769174565333</v>
      </c>
      <c r="S49" s="799">
        <f>IF(S3&gt;ProjectLife+1,0,'Project Assumptions'!$N$36*((1+Opcostescalation)^(S4-'Project Assumptions'!$N$6))*S5/12)</f>
        <v>46.739022498022933</v>
      </c>
      <c r="T49" s="799">
        <f>IF(T3&gt;ProjectLife+1,0,'Project Assumptions'!$N$36*((1+Opcostescalation)^(T4-'Project Assumptions'!$N$6))*T5/12)</f>
        <v>48.141193172963618</v>
      </c>
      <c r="U49" s="799">
        <f>IF(U3&gt;ProjectLife+1,0,'Project Assumptions'!$N$36*((1+Opcostescalation)^(U4-'Project Assumptions'!$N$6))*U5/12)</f>
        <v>49.58542896815252</v>
      </c>
      <c r="V49" s="799">
        <f>IF(V3&gt;ProjectLife+1,0,'Project Assumptions'!$N$36*((1+Opcostescalation)^(V4-'Project Assumptions'!$N$6))*V5/12)</f>
        <v>51.072991837197094</v>
      </c>
      <c r="W49" s="799">
        <f>IF(W3&gt;ProjectLife+1,0,'Project Assumptions'!$N$36*((1+Opcostescalation)^(W4-'Project Assumptions'!$N$6))*W5/12)</f>
        <v>52.605181592313009</v>
      </c>
      <c r="X49" s="800">
        <f>IF(X3&gt;ProjectLife+1,0,'Project Assumptions'!$N$36*((1+Opcostescalation)^(X4-'Project Assumptions'!$N$6))*X5/12)</f>
        <v>54.183337040082399</v>
      </c>
      <c r="Y49" s="5"/>
      <c r="Z49" s="5"/>
      <c r="AA49" s="5"/>
      <c r="AB49" s="5"/>
    </row>
    <row r="50" spans="1:28" ht="12.6" customHeight="1">
      <c r="A50" s="184">
        <v>7</v>
      </c>
      <c r="B50" s="652" t="s">
        <v>78</v>
      </c>
      <c r="C50" s="646"/>
      <c r="D50" s="801">
        <f>'Project Assumptions'!$N$37*(D6/12)</f>
        <v>31.25</v>
      </c>
      <c r="E50" s="801">
        <f>IF(E3&gt;ProjectLife+1,0,'Project Assumptions'!$N$37*((1+Opcostescalation)^(E4-'Project Assumptions'!$N$6))*E5/12)</f>
        <v>77.25</v>
      </c>
      <c r="F50" s="801">
        <f>IF(F3&gt;ProjectLife+1,0,'Project Assumptions'!$N$37*((1+Opcostescalation)^(F4-'Project Assumptions'!$N$6))*F5/12)</f>
        <v>79.567499999999995</v>
      </c>
      <c r="G50" s="801">
        <f>IF(G3&gt;ProjectLife+1,0,'Project Assumptions'!$N$37*((1+Opcostescalation)^(G4-'Project Assumptions'!$N$6))*G5/12)</f>
        <v>81.954525000000004</v>
      </c>
      <c r="H50" s="801">
        <f>IF(H3&gt;ProjectLife+1,0,'Project Assumptions'!$N$37*((1+Opcostescalation)^(H4-'Project Assumptions'!$N$6))*H5/12)</f>
        <v>84.413160749999989</v>
      </c>
      <c r="I50" s="801">
        <f>IF(I3&gt;ProjectLife+1,0,'Project Assumptions'!$N$37*((1+Opcostescalation)^(I4-'Project Assumptions'!$N$6))*I5/12)</f>
        <v>86.945555572499984</v>
      </c>
      <c r="J50" s="801">
        <f>IF(J3&gt;ProjectLife+1,0,'Project Assumptions'!$N$37*((1+Opcostescalation)^(J4-'Project Assumptions'!$N$6))*J5/12)</f>
        <v>89.553922239674989</v>
      </c>
      <c r="K50" s="801">
        <f>IF(K3&gt;ProjectLife+1,0,'Project Assumptions'!$N$37*((1+Opcostescalation)^(K4-'Project Assumptions'!$N$6))*K5/12)</f>
        <v>92.240539906865251</v>
      </c>
      <c r="L50" s="801">
        <f>IF(L3&gt;ProjectLife+1,0,'Project Assumptions'!$N$37*((1+Opcostescalation)^(L4-'Project Assumptions'!$N$6))*L5/12)</f>
        <v>95.007756104071191</v>
      </c>
      <c r="M50" s="801">
        <f>IF(M3&gt;ProjectLife+1,0,'Project Assumptions'!$N$37*((1+Opcostescalation)^(M4-'Project Assumptions'!$N$6))*M5/12)</f>
        <v>97.857988787193335</v>
      </c>
      <c r="N50" s="801">
        <f>IF(N3&gt;ProjectLife+1,0,'Project Assumptions'!$N$37*((1+Opcostescalation)^(N4-'Project Assumptions'!$N$6))*N5/12)</f>
        <v>100.79372845080913</v>
      </c>
      <c r="O50" s="801">
        <f>IF(O3&gt;ProjectLife+1,0,'Project Assumptions'!$N$37*((1+Opcostescalation)^(O4-'Project Assumptions'!$N$6))*O5/12)</f>
        <v>103.81754030433341</v>
      </c>
      <c r="P50" s="801">
        <f>IF(P3&gt;ProjectLife+1,0,'Project Assumptions'!$N$37*((1+Opcostescalation)^(P4-'Project Assumptions'!$N$6))*P5/12)</f>
        <v>106.9320665134634</v>
      </c>
      <c r="Q50" s="801">
        <f>IF(Q3&gt;ProjectLife+1,0,'Project Assumptions'!$N$37*((1+Opcostescalation)^(Q4-'Project Assumptions'!$N$6))*Q5/12)</f>
        <v>110.14002850886727</v>
      </c>
      <c r="R50" s="801">
        <f>IF(R3&gt;ProjectLife+1,0,'Project Assumptions'!$N$37*((1+Opcostescalation)^(R4-'Project Assumptions'!$N$6))*R5/12)</f>
        <v>113.44422936413332</v>
      </c>
      <c r="S50" s="801">
        <f>IF(S3&gt;ProjectLife+1,0,'Project Assumptions'!$N$37*((1+Opcostescalation)^(S4-'Project Assumptions'!$N$6))*S5/12)</f>
        <v>116.84755624505733</v>
      </c>
      <c r="T50" s="801">
        <f>IF(T3&gt;ProjectLife+1,0,'Project Assumptions'!$N$37*((1+Opcostescalation)^(T4-'Project Assumptions'!$N$6))*T5/12)</f>
        <v>120.35298293240903</v>
      </c>
      <c r="U50" s="801">
        <f>IF(U3&gt;ProjectLife+1,0,'Project Assumptions'!$N$37*((1+Opcostescalation)^(U4-'Project Assumptions'!$N$6))*U5/12)</f>
        <v>123.9635724203813</v>
      </c>
      <c r="V50" s="801">
        <f>IF(V3&gt;ProjectLife+1,0,'Project Assumptions'!$N$37*((1+Opcostescalation)^(V4-'Project Assumptions'!$N$6))*V5/12)</f>
        <v>127.68247959299275</v>
      </c>
      <c r="W50" s="801">
        <f>IF(W3&gt;ProjectLife+1,0,'Project Assumptions'!$N$37*((1+Opcostescalation)^(W4-'Project Assumptions'!$N$6))*W5/12)</f>
        <v>131.51295398078253</v>
      </c>
      <c r="X50" s="802">
        <f>IF(X3&gt;ProjectLife+1,0,'Project Assumptions'!$N$37*((1+Opcostescalation)^(X4-'Project Assumptions'!$N$6))*X5/12)</f>
        <v>135.45834260020598</v>
      </c>
      <c r="Y50" s="6"/>
      <c r="Z50" s="6"/>
      <c r="AA50" s="6"/>
      <c r="AB50" s="6"/>
    </row>
    <row r="51" spans="1:28" ht="12.6" customHeight="1">
      <c r="B51" s="881" t="s">
        <v>575</v>
      </c>
      <c r="C51" s="645"/>
      <c r="D51" s="1106">
        <f t="shared" ref="D51:X51" si="8">D45+SUM(D46:D50)</f>
        <v>335.35382166666665</v>
      </c>
      <c r="E51" s="1106">
        <f t="shared" si="8"/>
        <v>765.38509989999989</v>
      </c>
      <c r="F51" s="1106">
        <f t="shared" si="8"/>
        <v>788.3466528969999</v>
      </c>
      <c r="G51" s="1106">
        <f t="shared" si="8"/>
        <v>811.99705248391001</v>
      </c>
      <c r="H51" s="1106">
        <f t="shared" si="8"/>
        <v>836.35696405842725</v>
      </c>
      <c r="I51" s="1106">
        <f t="shared" si="8"/>
        <v>861.44767298017996</v>
      </c>
      <c r="J51" s="1106">
        <f t="shared" si="8"/>
        <v>887.29110316958531</v>
      </c>
      <c r="K51" s="1106">
        <f t="shared" si="8"/>
        <v>913.909836264673</v>
      </c>
      <c r="L51" s="1106">
        <f t="shared" si="8"/>
        <v>941.32713135261315</v>
      </c>
      <c r="M51" s="1106">
        <f t="shared" si="8"/>
        <v>969.56694529319157</v>
      </c>
      <c r="N51" s="1106">
        <f t="shared" si="8"/>
        <v>998.65395365198719</v>
      </c>
      <c r="O51" s="1106">
        <f t="shared" si="8"/>
        <v>1028.613572261547</v>
      </c>
      <c r="P51" s="1106">
        <f t="shared" si="8"/>
        <v>1059.4719794293933</v>
      </c>
      <c r="Q51" s="1106">
        <f t="shared" si="8"/>
        <v>1091.2561388122751</v>
      </c>
      <c r="R51" s="1106">
        <f t="shared" si="8"/>
        <v>1123.9938229766433</v>
      </c>
      <c r="S51" s="1106">
        <f t="shared" si="8"/>
        <v>1157.7136376659428</v>
      </c>
      <c r="T51" s="1106">
        <f t="shared" si="8"/>
        <v>1192.4450467959209</v>
      </c>
      <c r="U51" s="1106">
        <f t="shared" si="8"/>
        <v>1228.2183981997985</v>
      </c>
      <c r="V51" s="1106">
        <f t="shared" si="8"/>
        <v>1265.0649501457924</v>
      </c>
      <c r="W51" s="1106">
        <f t="shared" si="8"/>
        <v>1303.0168986501662</v>
      </c>
      <c r="X51" s="1107">
        <f t="shared" si="8"/>
        <v>1342.1074056096711</v>
      </c>
      <c r="Y51" s="6"/>
      <c r="Z51" s="6"/>
      <c r="AA51" s="6"/>
      <c r="AB51" s="6"/>
    </row>
    <row r="52" spans="1:28" ht="12.6" customHeight="1">
      <c r="B52" s="652"/>
      <c r="C52" s="646"/>
      <c r="D52" s="801"/>
      <c r="E52" s="801"/>
      <c r="F52" s="801"/>
      <c r="G52" s="801"/>
      <c r="H52" s="801"/>
      <c r="I52" s="801"/>
      <c r="J52" s="801"/>
      <c r="K52" s="801"/>
      <c r="L52" s="801"/>
      <c r="M52" s="801"/>
      <c r="N52" s="801"/>
      <c r="O52" s="801"/>
      <c r="P52" s="801"/>
      <c r="Q52" s="801"/>
      <c r="R52" s="801"/>
      <c r="S52" s="801"/>
      <c r="T52" s="801"/>
      <c r="U52" s="801"/>
      <c r="V52" s="801"/>
      <c r="W52" s="801"/>
      <c r="X52" s="802"/>
      <c r="Y52" s="6"/>
      <c r="Z52" s="6"/>
      <c r="AA52" s="6"/>
      <c r="AB52" s="6"/>
    </row>
    <row r="53" spans="1:28" ht="12.6" customHeight="1">
      <c r="A53" s="184">
        <v>8</v>
      </c>
      <c r="B53" s="881" t="s">
        <v>542</v>
      </c>
      <c r="C53" s="646">
        <f>AVERAGE(D53:W53)</f>
        <v>596.0367615181683</v>
      </c>
      <c r="D53" s="1102">
        <v>0</v>
      </c>
      <c r="E53" s="1102">
        <f>IF(E3&gt;ProjectLife+1,0,Depreciation!E57)</f>
        <v>549.16369837411492</v>
      </c>
      <c r="F53" s="1102">
        <f>IF(F3&gt;ProjectLife+1,0,Depreciation!F57)</f>
        <v>538.06948224534494</v>
      </c>
      <c r="G53" s="1102">
        <f>IF(G3&gt;ProjectLife+1,0,Depreciation!G57)</f>
        <v>526.97526611657486</v>
      </c>
      <c r="H53" s="1102">
        <f>IF(H3&gt;ProjectLife+1,0,Depreciation!H57)</f>
        <v>515.881049987805</v>
      </c>
      <c r="I53" s="1102">
        <f>IF(I3&gt;ProjectLife+1,0,Depreciation!I57)</f>
        <v>504.78683385903503</v>
      </c>
      <c r="J53" s="1102">
        <f>IF(J3&gt;ProjectLife+1,0,Depreciation!J57)</f>
        <v>493.69261773026494</v>
      </c>
      <c r="K53" s="1102">
        <f>IF(K3&gt;ProjectLife+1,0,Depreciation!K57)</f>
        <v>477.05129353710993</v>
      </c>
      <c r="L53" s="1102">
        <f>IF(L3&gt;ProjectLife+1,0,Depreciation!L57)</f>
        <v>460.40996934395491</v>
      </c>
      <c r="M53" s="1102">
        <f>IF(M3&gt;ProjectLife+1,0,Depreciation!M57)</f>
        <v>443.76864515080001</v>
      </c>
      <c r="N53" s="1102">
        <f>IF(N3&gt;ProjectLife+1,0,Depreciation!N57)</f>
        <v>421.58021289325995</v>
      </c>
      <c r="O53" s="1102">
        <f>IF(O3&gt;ProjectLife+1,0,Depreciation!O57)</f>
        <v>1198.1753419071597</v>
      </c>
      <c r="P53" s="1102">
        <f>IF(P3&gt;ProjectLife+1,0,Depreciation!P57)</f>
        <v>1114.9687209413851</v>
      </c>
      <c r="Q53" s="1102">
        <f>IF(Q3&gt;ProjectLife+1,0,Depreciation!Q57)</f>
        <v>1015.120775782455</v>
      </c>
      <c r="R53" s="1102">
        <f>IF(R3&gt;ProjectLife+1,0,Depreciation!R57)</f>
        <v>915.27283062352512</v>
      </c>
      <c r="S53" s="1102">
        <f>IF(S3&gt;ProjectLife+1,0,Depreciation!S57)</f>
        <v>815.42488546459481</v>
      </c>
      <c r="T53" s="1102">
        <f>IF(T3&gt;ProjectLife+1,0,Depreciation!T57)</f>
        <v>682.29429191935492</v>
      </c>
      <c r="U53" s="1102">
        <f>IF(U3&gt;ProjectLife+1,0,Depreciation!U57)</f>
        <v>532.52237418096001</v>
      </c>
      <c r="V53" s="1102">
        <f>IF(V3&gt;ProjectLife+1,0,Depreciation!V57)</f>
        <v>382.750456442565</v>
      </c>
      <c r="W53" s="1102">
        <f>IF(W3&gt;ProjectLife+1,0,Depreciation!W57)</f>
        <v>332.82648386310001</v>
      </c>
      <c r="X53" s="1103">
        <f>IF(X3&gt;ProjectLife+1,0,Depreciation!X57)</f>
        <v>332.82648386310001</v>
      </c>
      <c r="Y53" s="94"/>
      <c r="Z53" s="94"/>
      <c r="AA53" s="94"/>
      <c r="AB53" s="94"/>
    </row>
    <row r="54" spans="1:28" ht="12.6" customHeight="1">
      <c r="B54" s="881"/>
      <c r="C54" s="646"/>
      <c r="D54" s="885"/>
      <c r="E54" s="885"/>
      <c r="F54" s="885"/>
      <c r="G54" s="885"/>
      <c r="H54" s="885"/>
      <c r="I54" s="885"/>
      <c r="J54" s="885"/>
      <c r="K54" s="885"/>
      <c r="L54" s="885"/>
      <c r="M54" s="885"/>
      <c r="N54" s="885"/>
      <c r="O54" s="885"/>
      <c r="P54" s="885"/>
      <c r="Q54" s="885"/>
      <c r="R54" s="885"/>
      <c r="S54" s="885"/>
      <c r="T54" s="885"/>
      <c r="U54" s="885"/>
      <c r="V54" s="885"/>
      <c r="W54" s="885"/>
      <c r="X54" s="886"/>
      <c r="Y54" s="118"/>
      <c r="Z54" s="118"/>
      <c r="AA54" s="118"/>
      <c r="AB54" s="118"/>
    </row>
    <row r="55" spans="1:28" ht="12.6" customHeight="1">
      <c r="B55" s="881" t="s">
        <v>509</v>
      </c>
      <c r="C55" s="646"/>
      <c r="D55" s="885"/>
      <c r="E55" s="885"/>
      <c r="F55" s="885"/>
      <c r="G55" s="885"/>
      <c r="H55" s="885"/>
      <c r="I55" s="885"/>
      <c r="J55" s="885"/>
      <c r="K55" s="885"/>
      <c r="L55" s="885"/>
      <c r="M55" s="885"/>
      <c r="N55" s="885"/>
      <c r="O55" s="885"/>
      <c r="P55" s="885"/>
      <c r="Q55" s="885"/>
      <c r="R55" s="885"/>
      <c r="S55" s="885"/>
      <c r="T55" s="885"/>
      <c r="U55" s="885"/>
      <c r="V55" s="885"/>
      <c r="W55" s="885"/>
      <c r="X55" s="886"/>
      <c r="Y55" s="118"/>
      <c r="Z55" s="118"/>
      <c r="AA55" s="118"/>
      <c r="AB55" s="118"/>
    </row>
    <row r="56" spans="1:28" ht="12.6" customHeight="1">
      <c r="A56" s="184">
        <v>8</v>
      </c>
      <c r="B56" s="652" t="s">
        <v>510</v>
      </c>
      <c r="C56" s="646"/>
      <c r="D56" s="1102">
        <f>'Tax Calculations'!D8*'Tax Calculations'!D9</f>
        <v>0</v>
      </c>
      <c r="E56" s="1102">
        <f>'Tax Calculations'!E8*'Tax Calculations'!E9</f>
        <v>0</v>
      </c>
      <c r="F56" s="1102">
        <f>'Tax Calculations'!F8*'Tax Calculations'!F9</f>
        <v>0</v>
      </c>
      <c r="G56" s="1102">
        <f>'Tax Calculations'!G8*'Tax Calculations'!G9</f>
        <v>0</v>
      </c>
      <c r="H56" s="1102">
        <f>'Tax Calculations'!H8*'Tax Calculations'!H9</f>
        <v>0</v>
      </c>
      <c r="I56" s="1102">
        <f>'Tax Calculations'!I8*'Tax Calculations'!I9</f>
        <v>0</v>
      </c>
      <c r="J56" s="1102">
        <f>'Tax Calculations'!J8*'Tax Calculations'!J9</f>
        <v>0</v>
      </c>
      <c r="K56" s="1102">
        <f>'Tax Calculations'!K8*'Tax Calculations'!K9</f>
        <v>0</v>
      </c>
      <c r="L56" s="1102">
        <f>'Tax Calculations'!L8*'Tax Calculations'!L9</f>
        <v>0</v>
      </c>
      <c r="M56" s="1102">
        <f>'Tax Calculations'!M8*'Tax Calculations'!M9</f>
        <v>0</v>
      </c>
      <c r="N56" s="1102">
        <f>'Tax Calculations'!N8*'Tax Calculations'!N9</f>
        <v>0</v>
      </c>
      <c r="O56" s="1102">
        <f>'Tax Calculations'!O8*'Tax Calculations'!O9</f>
        <v>0</v>
      </c>
      <c r="P56" s="1102">
        <f>'Tax Calculations'!P8*'Tax Calculations'!P9</f>
        <v>0</v>
      </c>
      <c r="Q56" s="1102">
        <f>'Tax Calculations'!Q8*'Tax Calculations'!Q9</f>
        <v>0</v>
      </c>
      <c r="R56" s="1102">
        <f>'Tax Calculations'!R8*'Tax Calculations'!R9</f>
        <v>0</v>
      </c>
      <c r="S56" s="1102">
        <f>'Tax Calculations'!S8*'Tax Calculations'!S9</f>
        <v>0</v>
      </c>
      <c r="T56" s="1102">
        <f>'Tax Calculations'!T8*'Tax Calculations'!T9</f>
        <v>0</v>
      </c>
      <c r="U56" s="1102">
        <f>'Tax Calculations'!U8*'Tax Calculations'!U9</f>
        <v>0</v>
      </c>
      <c r="V56" s="1102">
        <f>'Tax Calculations'!V8*'Tax Calculations'!V9</f>
        <v>0</v>
      </c>
      <c r="W56" s="1102">
        <f>'Tax Calculations'!W8*'Tax Calculations'!W9</f>
        <v>0</v>
      </c>
      <c r="X56" s="1103">
        <f>'Tax Calculations'!X8*'Tax Calculations'!X9</f>
        <v>0</v>
      </c>
      <c r="Y56" s="118"/>
      <c r="Z56" s="118"/>
      <c r="AA56" s="118"/>
      <c r="AB56" s="118"/>
    </row>
    <row r="57" spans="1:28" ht="12.6" customHeight="1">
      <c r="B57" s="881"/>
      <c r="C57" s="646"/>
      <c r="D57" s="885"/>
      <c r="E57" s="885"/>
      <c r="F57" s="885"/>
      <c r="G57" s="885"/>
      <c r="H57" s="885"/>
      <c r="I57" s="885"/>
      <c r="J57" s="885"/>
      <c r="K57" s="885"/>
      <c r="L57" s="885"/>
      <c r="M57" s="885"/>
      <c r="N57" s="885"/>
      <c r="O57" s="885"/>
      <c r="P57" s="885"/>
      <c r="Q57" s="885"/>
      <c r="R57" s="885"/>
      <c r="S57" s="885"/>
      <c r="T57" s="885"/>
      <c r="U57" s="885"/>
      <c r="V57" s="885"/>
      <c r="W57" s="885"/>
      <c r="X57" s="886"/>
      <c r="Y57" s="118"/>
      <c r="Z57" s="118"/>
      <c r="AA57" s="118"/>
      <c r="AB57" s="118"/>
    </row>
    <row r="58" spans="1:28" ht="12.6" customHeight="1">
      <c r="B58" s="871" t="s">
        <v>463</v>
      </c>
      <c r="C58" s="835"/>
      <c r="D58" s="1108">
        <f>D29+D34+D42+D51+D53+D56</f>
        <v>18832.90043852941</v>
      </c>
      <c r="E58" s="1108">
        <f t="shared" ref="E58:X58" si="9">E29+E34+E42+E51+E53+E56</f>
        <v>20844.487525016189</v>
      </c>
      <c r="F58" s="1108">
        <f t="shared" si="9"/>
        <v>21182.181076477184</v>
      </c>
      <c r="G58" s="1108">
        <f t="shared" si="9"/>
        <v>21286.775003375376</v>
      </c>
      <c r="H58" s="1108">
        <f t="shared" si="9"/>
        <v>22536.046384290814</v>
      </c>
      <c r="I58" s="1108">
        <f t="shared" si="9"/>
        <v>23320.562652051376</v>
      </c>
      <c r="J58" s="1108">
        <f t="shared" si="9"/>
        <v>23450.050954769176</v>
      </c>
      <c r="K58" s="1108">
        <f t="shared" si="9"/>
        <v>23578.209624987991</v>
      </c>
      <c r="L58" s="1108">
        <f t="shared" si="9"/>
        <v>23710.712295039164</v>
      </c>
      <c r="M58" s="1108">
        <f t="shared" si="9"/>
        <v>23847.689284917666</v>
      </c>
      <c r="N58" s="1108">
        <f t="shared" si="9"/>
        <v>23983.727716153928</v>
      </c>
      <c r="O58" s="1108">
        <f t="shared" si="9"/>
        <v>24923.296514566449</v>
      </c>
      <c r="P58" s="1108">
        <f t="shared" si="9"/>
        <v>25007.952773081255</v>
      </c>
      <c r="Q58" s="1108">
        <f t="shared" si="9"/>
        <v>25081.003593787318</v>
      </c>
      <c r="R58" s="1108">
        <f t="shared" si="9"/>
        <v>25159.241377469338</v>
      </c>
      <c r="S58" s="1108">
        <f t="shared" si="9"/>
        <v>25242.821733016579</v>
      </c>
      <c r="T58" s="1108">
        <f t="shared" si="9"/>
        <v>25298.622289198698</v>
      </c>
      <c r="U58" s="1108">
        <f t="shared" si="9"/>
        <v>25343.449455679485</v>
      </c>
      <c r="V58" s="1108">
        <f t="shared" si="9"/>
        <v>25394.114594686842</v>
      </c>
      <c r="W58" s="1108">
        <f t="shared" si="9"/>
        <v>25550.64079055551</v>
      </c>
      <c r="X58" s="1109">
        <f t="shared" si="9"/>
        <v>25763.28446405708</v>
      </c>
      <c r="Y58" s="118"/>
      <c r="Z58" s="118"/>
      <c r="AA58" s="118"/>
      <c r="AB58" s="118"/>
    </row>
    <row r="59" spans="1:28" ht="12.6" customHeight="1" thickBot="1">
      <c r="B59" s="874"/>
      <c r="C59" s="875"/>
      <c r="D59" s="887"/>
      <c r="E59" s="887"/>
      <c r="F59" s="887"/>
      <c r="G59" s="887"/>
      <c r="H59" s="887"/>
      <c r="I59" s="887"/>
      <c r="J59" s="887"/>
      <c r="K59" s="887"/>
      <c r="L59" s="887"/>
      <c r="M59" s="887"/>
      <c r="N59" s="887"/>
      <c r="O59" s="887"/>
      <c r="P59" s="887"/>
      <c r="Q59" s="887"/>
      <c r="R59" s="887"/>
      <c r="S59" s="887"/>
      <c r="T59" s="887"/>
      <c r="U59" s="887"/>
      <c r="V59" s="887"/>
      <c r="W59" s="887"/>
      <c r="X59" s="887"/>
      <c r="Y59" s="118"/>
      <c r="Z59" s="118"/>
      <c r="AA59" s="118"/>
      <c r="AB59" s="118"/>
    </row>
    <row r="60" spans="1:28" ht="12.6" customHeight="1">
      <c r="B60" s="397"/>
      <c r="D60" s="403"/>
      <c r="E60" s="403"/>
      <c r="F60" s="403"/>
      <c r="G60" s="403"/>
      <c r="H60" s="403"/>
      <c r="I60" s="403"/>
      <c r="J60" s="403"/>
      <c r="K60" s="403"/>
      <c r="L60" s="403"/>
      <c r="M60" s="403"/>
      <c r="N60" s="403"/>
      <c r="O60" s="403"/>
      <c r="P60" s="403"/>
      <c r="Q60" s="403"/>
      <c r="R60" s="403"/>
      <c r="S60" s="403"/>
      <c r="T60" s="403"/>
      <c r="U60" s="403"/>
      <c r="V60" s="403"/>
      <c r="W60" s="403"/>
      <c r="X60" s="403"/>
      <c r="Y60" s="118"/>
      <c r="Z60" s="118"/>
      <c r="AA60" s="118"/>
      <c r="AB60" s="118"/>
    </row>
    <row r="61" spans="1:28" ht="12.6" customHeight="1">
      <c r="B61" s="863" t="s">
        <v>3</v>
      </c>
      <c r="C61" s="642"/>
      <c r="D61" s="837">
        <f t="shared" ref="D61:X61" si="10">D17-D58</f>
        <v>8065.3165214705841</v>
      </c>
      <c r="E61" s="837">
        <f t="shared" si="10"/>
        <v>19235.428289961183</v>
      </c>
      <c r="F61" s="837">
        <f t="shared" si="10"/>
        <v>19490.980265740011</v>
      </c>
      <c r="G61" s="837">
        <f t="shared" si="10"/>
        <v>19444.865974308334</v>
      </c>
      <c r="H61" s="837">
        <f t="shared" si="10"/>
        <v>25069.793729964076</v>
      </c>
      <c r="I61" s="837">
        <f t="shared" si="10"/>
        <v>29449.203233182961</v>
      </c>
      <c r="J61" s="837">
        <f t="shared" si="10"/>
        <v>29763.7241658887</v>
      </c>
      <c r="K61" s="837">
        <f t="shared" si="10"/>
        <v>30075.049878797887</v>
      </c>
      <c r="L61" s="837">
        <f t="shared" si="10"/>
        <v>31007.898898001091</v>
      </c>
      <c r="M61" s="837">
        <f t="shared" si="10"/>
        <v>31318.238992446946</v>
      </c>
      <c r="N61" s="837">
        <f t="shared" si="10"/>
        <v>32292.932313672438</v>
      </c>
      <c r="O61" s="837">
        <f t="shared" si="10"/>
        <v>31807.837359711353</v>
      </c>
      <c r="P61" s="837">
        <f t="shared" si="10"/>
        <v>32880.869021565675</v>
      </c>
      <c r="Q61" s="837">
        <f t="shared" si="10"/>
        <v>33268.661484746095</v>
      </c>
      <c r="R61" s="837">
        <f t="shared" si="10"/>
        <v>33643.145025244346</v>
      </c>
      <c r="S61" s="837">
        <f t="shared" si="10"/>
        <v>34003.261957633273</v>
      </c>
      <c r="T61" s="837">
        <f t="shared" si="10"/>
        <v>34381.185761776818</v>
      </c>
      <c r="U61" s="837">
        <f t="shared" si="10"/>
        <v>34759.112324795438</v>
      </c>
      <c r="V61" s="837">
        <f t="shared" si="10"/>
        <v>35119.181694687373</v>
      </c>
      <c r="W61" s="837">
        <f t="shared" si="10"/>
        <v>35360.269155525275</v>
      </c>
      <c r="X61" s="838">
        <f t="shared" si="10"/>
        <v>35530.961374348</v>
      </c>
      <c r="Y61" s="94"/>
      <c r="Z61" s="94"/>
      <c r="AA61" s="94"/>
      <c r="AB61" s="94"/>
    </row>
    <row r="62" spans="1:28" ht="12.6" customHeight="1">
      <c r="B62" s="652"/>
      <c r="C62" s="646"/>
      <c r="D62" s="654"/>
      <c r="E62" s="654"/>
      <c r="F62" s="654"/>
      <c r="G62" s="654"/>
      <c r="H62" s="654"/>
      <c r="I62" s="654"/>
      <c r="J62" s="654"/>
      <c r="K62" s="654"/>
      <c r="L62" s="654"/>
      <c r="M62" s="654"/>
      <c r="N62" s="654"/>
      <c r="O62" s="654"/>
      <c r="P62" s="654"/>
      <c r="Q62" s="654"/>
      <c r="R62" s="654"/>
      <c r="S62" s="654"/>
      <c r="T62" s="654"/>
      <c r="U62" s="654"/>
      <c r="V62" s="654"/>
      <c r="W62" s="654"/>
      <c r="X62" s="655"/>
      <c r="Y62" s="4"/>
      <c r="Z62" s="4"/>
      <c r="AA62" s="4"/>
      <c r="AB62" s="4"/>
    </row>
    <row r="63" spans="1:28" ht="12.6" customHeight="1">
      <c r="A63" s="184">
        <v>11</v>
      </c>
      <c r="B63" s="652" t="s">
        <v>79</v>
      </c>
      <c r="C63" s="646"/>
      <c r="D63" s="885">
        <f>Depreciation!D43</f>
        <v>2151.860133333334</v>
      </c>
      <c r="E63" s="885">
        <f>IF(E3&gt;ProjectLife,0,Depreciation!E43)</f>
        <v>5201.96432</v>
      </c>
      <c r="F63" s="885">
        <f>IF(F3&gt;ProjectLife,0,Depreciation!F43)</f>
        <v>5254.46432</v>
      </c>
      <c r="G63" s="885">
        <f>IF(G3&gt;ProjectLife,0,Depreciation!G43)</f>
        <v>5254.46432</v>
      </c>
      <c r="H63" s="885">
        <f>IF(H3&gt;ProjectLife,0,Depreciation!H43)</f>
        <v>5254.46432</v>
      </c>
      <c r="I63" s="885">
        <f>IF(I3&gt;ProjectLife,0,Depreciation!I43)</f>
        <v>5002.78982</v>
      </c>
      <c r="J63" s="885">
        <f>IF(J3&gt;ProjectLife,0,Depreciation!J43)</f>
        <v>4650.4455200000002</v>
      </c>
      <c r="K63" s="885">
        <f>IF(K3&gt;ProjectLife,0,Depreciation!K43)</f>
        <v>4650.4455200000002</v>
      </c>
      <c r="L63" s="885">
        <f>IF(L3&gt;ProjectLife,0,Depreciation!L43)</f>
        <v>4650.4455200000002</v>
      </c>
      <c r="M63" s="885">
        <f>IF(M3&gt;ProjectLife,0,Depreciation!M43)</f>
        <v>4650.4455200000002</v>
      </c>
      <c r="N63" s="885">
        <f>IF(N3&gt;ProjectLife,0,Depreciation!N43)</f>
        <v>4650.4455200000002</v>
      </c>
      <c r="O63" s="885">
        <f>IF(O3&gt;ProjectLife,0,Depreciation!O43)</f>
        <v>4650.4455200000002</v>
      </c>
      <c r="P63" s="885">
        <f>IF(P3&gt;ProjectLife,0,Depreciation!P43)</f>
        <v>4650.4455200000002</v>
      </c>
      <c r="Q63" s="885">
        <f>IF(Q3&gt;ProjectLife,0,Depreciation!Q43)</f>
        <v>4650.4455200000002</v>
      </c>
      <c r="R63" s="885">
        <f>IF(R3&gt;ProjectLife,0,Depreciation!R43)</f>
        <v>4650.4455200000002</v>
      </c>
      <c r="S63" s="885">
        <f>IF(S3&gt;ProjectLife,0,Depreciation!S43)</f>
        <v>4650.4455200000002</v>
      </c>
      <c r="T63" s="885">
        <f>IF(T3&gt;ProjectLife,0,Depreciation!T43)</f>
        <v>4650.4455200000002</v>
      </c>
      <c r="U63" s="885">
        <f>IF(U3&gt;ProjectLife,0,Depreciation!U43)</f>
        <v>4650.4455200000002</v>
      </c>
      <c r="V63" s="885">
        <f>IF(V3&gt;ProjectLife,0,Depreciation!V43)</f>
        <v>4650.4455200000002</v>
      </c>
      <c r="W63" s="885">
        <f>IF(W3&gt;ProjectLife,0,Depreciation!W43)</f>
        <v>4650.4455200000002</v>
      </c>
      <c r="X63" s="886">
        <f>IF(X3&gt;ProjectLife+1,0,Depreciation!X43)</f>
        <v>4624.5496866666672</v>
      </c>
      <c r="Y63" s="114"/>
      <c r="Z63" s="114"/>
      <c r="AA63" s="114"/>
      <c r="AB63" s="114"/>
    </row>
    <row r="64" spans="1:28" ht="12.6" customHeight="1">
      <c r="B64" s="881" t="s">
        <v>4</v>
      </c>
      <c r="C64" s="646"/>
      <c r="D64" s="797">
        <f>D61-D63</f>
        <v>5913.4563881372505</v>
      </c>
      <c r="E64" s="797">
        <f t="shared" ref="E64:W64" si="11">IF(E3&gt;ProjectLife,0,E61-E63)</f>
        <v>14033.463969961183</v>
      </c>
      <c r="F64" s="797">
        <f t="shared" si="11"/>
        <v>14236.515945740011</v>
      </c>
      <c r="G64" s="797">
        <f t="shared" si="11"/>
        <v>14190.401654308334</v>
      </c>
      <c r="H64" s="797">
        <f t="shared" si="11"/>
        <v>19815.329409964077</v>
      </c>
      <c r="I64" s="797">
        <f t="shared" si="11"/>
        <v>24446.413413182963</v>
      </c>
      <c r="J64" s="797">
        <f t="shared" si="11"/>
        <v>25113.278645888699</v>
      </c>
      <c r="K64" s="797">
        <f t="shared" si="11"/>
        <v>25424.604358797886</v>
      </c>
      <c r="L64" s="797">
        <f t="shared" si="11"/>
        <v>26357.45337800109</v>
      </c>
      <c r="M64" s="797">
        <f t="shared" si="11"/>
        <v>26667.793472446945</v>
      </c>
      <c r="N64" s="797">
        <f t="shared" si="11"/>
        <v>27642.486793672437</v>
      </c>
      <c r="O64" s="797">
        <f t="shared" si="11"/>
        <v>27157.391839711352</v>
      </c>
      <c r="P64" s="797">
        <f t="shared" si="11"/>
        <v>28230.423501565674</v>
      </c>
      <c r="Q64" s="797">
        <f t="shared" si="11"/>
        <v>28618.215964746094</v>
      </c>
      <c r="R64" s="797">
        <f t="shared" si="11"/>
        <v>28992.699505244345</v>
      </c>
      <c r="S64" s="797">
        <f t="shared" si="11"/>
        <v>29352.816437633272</v>
      </c>
      <c r="T64" s="797">
        <f t="shared" si="11"/>
        <v>29730.740241776817</v>
      </c>
      <c r="U64" s="797">
        <f t="shared" si="11"/>
        <v>30108.666804795437</v>
      </c>
      <c r="V64" s="797">
        <f t="shared" si="11"/>
        <v>30468.736174687372</v>
      </c>
      <c r="W64" s="797">
        <f t="shared" si="11"/>
        <v>30709.823635525274</v>
      </c>
      <c r="X64" s="798">
        <f>IF(X3&gt;ProjectLife+1,0,X61-X63)</f>
        <v>30906.411687681335</v>
      </c>
      <c r="Y64" s="94"/>
      <c r="Z64" s="94"/>
      <c r="AA64" s="94"/>
      <c r="AB64" s="94"/>
    </row>
    <row r="65" spans="1:29" ht="12.6" customHeight="1">
      <c r="B65" s="888"/>
      <c r="C65" s="646"/>
      <c r="D65" s="646"/>
      <c r="E65" s="654"/>
      <c r="F65" s="646"/>
      <c r="G65" s="646"/>
      <c r="H65" s="646"/>
      <c r="I65" s="646"/>
      <c r="J65" s="646"/>
      <c r="K65" s="646"/>
      <c r="L65" s="646"/>
      <c r="M65" s="646"/>
      <c r="N65" s="646"/>
      <c r="O65" s="646"/>
      <c r="P65" s="646"/>
      <c r="Q65" s="646"/>
      <c r="R65" s="646"/>
      <c r="S65" s="646"/>
      <c r="T65" s="646"/>
      <c r="U65" s="646"/>
      <c r="V65" s="646"/>
      <c r="W65" s="646"/>
      <c r="X65" s="804"/>
    </row>
    <row r="66" spans="1:29" ht="12.6" customHeight="1">
      <c r="B66" s="652" t="s">
        <v>80</v>
      </c>
      <c r="C66" s="646"/>
      <c r="D66" s="797">
        <f>'Debt Amortization'!E$52</f>
        <v>9138.4678000000004</v>
      </c>
      <c r="E66" s="797">
        <f>'Debt Amortization'!F$52</f>
        <v>8819.0619999999999</v>
      </c>
      <c r="F66" s="797">
        <f>'Debt Amortization'!G$52</f>
        <v>8499.6562000000013</v>
      </c>
      <c r="G66" s="797">
        <f>'Debt Amortization'!H$52</f>
        <v>8048.04792</v>
      </c>
      <c r="H66" s="797">
        <f>'Debt Amortization'!I$52</f>
        <v>7464.2371600000006</v>
      </c>
      <c r="I66" s="797">
        <f>'Debt Amortization'!J$52</f>
        <v>7095.4962999999998</v>
      </c>
      <c r="J66" s="797">
        <f>'Debt Amortization'!K$52</f>
        <v>6726.7554399999999</v>
      </c>
      <c r="K66" s="797">
        <f>'Debt Amortization'!L$52</f>
        <v>6305.84663</v>
      </c>
      <c r="L66" s="797">
        <f>'Debt Amortization'!M$52</f>
        <v>5884.9378200000001</v>
      </c>
      <c r="M66" s="797">
        <f>'Debt Amortization'!N$52</f>
        <v>5199.6240500000004</v>
      </c>
      <c r="N66" s="797">
        <f>'Debt Amortization'!O$52</f>
        <v>4329.9398499999998</v>
      </c>
      <c r="O66" s="797">
        <f>'Debt Amortization'!P$52</f>
        <v>4121.2680499999997</v>
      </c>
      <c r="P66" s="797">
        <f>'Debt Amortization'!Q$52</f>
        <v>3860.4283</v>
      </c>
      <c r="Q66" s="797">
        <f>'Debt Amortization'!R$52</f>
        <v>3599.5885499999999</v>
      </c>
      <c r="R66" s="797">
        <f>'Debt Amortization'!S$52</f>
        <v>3338.7487999999998</v>
      </c>
      <c r="S66" s="797">
        <f>'Debt Amortization'!T$52</f>
        <v>3077.9090499999998</v>
      </c>
      <c r="T66" s="797">
        <f>'Debt Amortization'!U$52</f>
        <v>2817.0693000000001</v>
      </c>
      <c r="U66" s="797">
        <f>'Debt Amortization'!V$52</f>
        <v>2295.3897999999999</v>
      </c>
      <c r="V66" s="797">
        <f>'Debt Amortization'!W$52</f>
        <v>1669.3743999999999</v>
      </c>
      <c r="W66" s="797">
        <f>'Debt Amortization'!X$52</f>
        <v>886.85514999999998</v>
      </c>
      <c r="X66" s="798">
        <f>'Debt Amortization'!Y$52</f>
        <v>0</v>
      </c>
      <c r="Y66" s="94"/>
      <c r="Z66" s="94"/>
      <c r="AA66" s="94"/>
      <c r="AB66" s="94"/>
      <c r="AC66" s="4"/>
    </row>
    <row r="67" spans="1:29" ht="12.6" customHeight="1">
      <c r="A67" s="184">
        <v>10</v>
      </c>
      <c r="B67" s="652" t="s">
        <v>81</v>
      </c>
      <c r="C67" s="646"/>
      <c r="D67" s="799">
        <f>0.05*0.25*D61</f>
        <v>100.81645651838231</v>
      </c>
      <c r="E67" s="799">
        <f t="shared" ref="E67:X67" si="12">0.05*0.25*E61</f>
        <v>240.44285362451478</v>
      </c>
      <c r="F67" s="799">
        <f t="shared" si="12"/>
        <v>243.63725332175014</v>
      </c>
      <c r="G67" s="799">
        <f t="shared" si="12"/>
        <v>243.06082467885417</v>
      </c>
      <c r="H67" s="799">
        <f t="shared" si="12"/>
        <v>313.37242162455095</v>
      </c>
      <c r="I67" s="799">
        <f t="shared" si="12"/>
        <v>368.11504041478702</v>
      </c>
      <c r="J67" s="799">
        <f t="shared" si="12"/>
        <v>372.04655207360878</v>
      </c>
      <c r="K67" s="799">
        <f t="shared" si="12"/>
        <v>375.93812348497363</v>
      </c>
      <c r="L67" s="799">
        <f t="shared" si="12"/>
        <v>387.59873622501368</v>
      </c>
      <c r="M67" s="799">
        <f t="shared" si="12"/>
        <v>391.47798740558687</v>
      </c>
      <c r="N67" s="799">
        <f t="shared" si="12"/>
        <v>403.66165392090551</v>
      </c>
      <c r="O67" s="799">
        <f t="shared" si="12"/>
        <v>397.59796699639196</v>
      </c>
      <c r="P67" s="799">
        <f t="shared" si="12"/>
        <v>411.01086276957096</v>
      </c>
      <c r="Q67" s="799">
        <f t="shared" si="12"/>
        <v>415.85826855932623</v>
      </c>
      <c r="R67" s="799">
        <f t="shared" si="12"/>
        <v>420.53931281555435</v>
      </c>
      <c r="S67" s="799">
        <f t="shared" si="12"/>
        <v>425.04077447041595</v>
      </c>
      <c r="T67" s="799">
        <f t="shared" si="12"/>
        <v>429.76482202221024</v>
      </c>
      <c r="U67" s="799">
        <f t="shared" si="12"/>
        <v>434.48890405994302</v>
      </c>
      <c r="V67" s="799">
        <f t="shared" si="12"/>
        <v>438.98977118359221</v>
      </c>
      <c r="W67" s="799">
        <f t="shared" si="12"/>
        <v>442.00336444406594</v>
      </c>
      <c r="X67" s="800">
        <f t="shared" si="12"/>
        <v>444.13701717935004</v>
      </c>
      <c r="Y67" s="5"/>
      <c r="Z67" s="5"/>
      <c r="AA67" s="5"/>
      <c r="AB67" s="5"/>
    </row>
    <row r="68" spans="1:29" ht="12.6" customHeight="1">
      <c r="B68" s="652" t="s">
        <v>82</v>
      </c>
      <c r="C68" s="646"/>
      <c r="D68" s="801">
        <f>D66-D67</f>
        <v>9037.6513434816188</v>
      </c>
      <c r="E68" s="801">
        <f t="shared" ref="E68:X68" si="13">E66-E67</f>
        <v>8578.6191463754858</v>
      </c>
      <c r="F68" s="801">
        <f t="shared" si="13"/>
        <v>8256.0189466782504</v>
      </c>
      <c r="G68" s="801">
        <f t="shared" si="13"/>
        <v>7804.9870953211457</v>
      </c>
      <c r="H68" s="801">
        <f t="shared" si="13"/>
        <v>7150.8647383754496</v>
      </c>
      <c r="I68" s="801">
        <f t="shared" si="13"/>
        <v>6727.3812595852123</v>
      </c>
      <c r="J68" s="801">
        <f t="shared" si="13"/>
        <v>6354.7088879263911</v>
      </c>
      <c r="K68" s="801">
        <f t="shared" si="13"/>
        <v>5929.9085065150266</v>
      </c>
      <c r="L68" s="801">
        <f t="shared" si="13"/>
        <v>5497.3390837749866</v>
      </c>
      <c r="M68" s="801">
        <f t="shared" si="13"/>
        <v>4808.1460625944137</v>
      </c>
      <c r="N68" s="801">
        <f t="shared" si="13"/>
        <v>3926.2781960790944</v>
      </c>
      <c r="O68" s="801">
        <f t="shared" si="13"/>
        <v>3723.6700830036079</v>
      </c>
      <c r="P68" s="801">
        <f t="shared" si="13"/>
        <v>3449.4174372304292</v>
      </c>
      <c r="Q68" s="801">
        <f t="shared" si="13"/>
        <v>3183.7302814406739</v>
      </c>
      <c r="R68" s="801">
        <f t="shared" si="13"/>
        <v>2918.2094871844456</v>
      </c>
      <c r="S68" s="801">
        <f t="shared" si="13"/>
        <v>2652.868275529584</v>
      </c>
      <c r="T68" s="801">
        <f t="shared" si="13"/>
        <v>2387.3044779777897</v>
      </c>
      <c r="U68" s="801">
        <f t="shared" si="13"/>
        <v>1860.9008959400569</v>
      </c>
      <c r="V68" s="801">
        <f t="shared" si="13"/>
        <v>1230.3846288164077</v>
      </c>
      <c r="W68" s="801">
        <f t="shared" si="13"/>
        <v>444.85178555593404</v>
      </c>
      <c r="X68" s="802">
        <f t="shared" si="13"/>
        <v>-444.13701717935004</v>
      </c>
      <c r="Y68" s="6"/>
      <c r="Z68" s="6"/>
      <c r="AA68" s="6"/>
      <c r="AB68" s="6"/>
    </row>
    <row r="69" spans="1:29" ht="12.6" customHeight="1">
      <c r="B69" s="881" t="s">
        <v>5</v>
      </c>
      <c r="C69" s="646"/>
      <c r="D69" s="797">
        <f>D64-D68</f>
        <v>-3124.1949553443683</v>
      </c>
      <c r="E69" s="797">
        <f t="shared" ref="E69:W69" si="14">IF(E3&gt;ProjectLife,0,E64-E68)</f>
        <v>5454.8448235856977</v>
      </c>
      <c r="F69" s="797">
        <f t="shared" si="14"/>
        <v>5980.496999061761</v>
      </c>
      <c r="G69" s="797">
        <f t="shared" si="14"/>
        <v>6385.4145589871887</v>
      </c>
      <c r="H69" s="797">
        <f t="shared" si="14"/>
        <v>12664.464671588627</v>
      </c>
      <c r="I69" s="797">
        <f t="shared" si="14"/>
        <v>17719.032153597749</v>
      </c>
      <c r="J69" s="797">
        <f t="shared" si="14"/>
        <v>18758.569757962308</v>
      </c>
      <c r="K69" s="797">
        <f t="shared" si="14"/>
        <v>19494.695852282857</v>
      </c>
      <c r="L69" s="797">
        <f t="shared" si="14"/>
        <v>20860.114294226103</v>
      </c>
      <c r="M69" s="797">
        <f t="shared" si="14"/>
        <v>21859.647409852532</v>
      </c>
      <c r="N69" s="797">
        <f t="shared" si="14"/>
        <v>23716.208597593344</v>
      </c>
      <c r="O69" s="797">
        <f t="shared" si="14"/>
        <v>23433.721756707746</v>
      </c>
      <c r="P69" s="797">
        <f t="shared" si="14"/>
        <v>24781.006064335244</v>
      </c>
      <c r="Q69" s="797">
        <f t="shared" si="14"/>
        <v>25434.485683305422</v>
      </c>
      <c r="R69" s="797">
        <f t="shared" si="14"/>
        <v>26074.4900180599</v>
      </c>
      <c r="S69" s="797">
        <f t="shared" si="14"/>
        <v>26699.948162103687</v>
      </c>
      <c r="T69" s="797">
        <f t="shared" si="14"/>
        <v>27343.435763799029</v>
      </c>
      <c r="U69" s="797">
        <f t="shared" si="14"/>
        <v>28247.765908855381</v>
      </c>
      <c r="V69" s="797">
        <f t="shared" si="14"/>
        <v>29238.351545870966</v>
      </c>
      <c r="W69" s="797">
        <f t="shared" si="14"/>
        <v>30264.971849969341</v>
      </c>
      <c r="X69" s="798">
        <f>IF(X3&gt;ProjectLife+1,0,X64-X68)</f>
        <v>31350.548704860685</v>
      </c>
      <c r="Y69" s="94"/>
      <c r="Z69" s="94"/>
      <c r="AA69" s="94"/>
      <c r="AB69" s="94"/>
    </row>
    <row r="70" spans="1:29" ht="12.6" customHeight="1">
      <c r="B70" s="652"/>
      <c r="C70" s="646"/>
      <c r="D70" s="654"/>
      <c r="E70" s="654"/>
      <c r="F70" s="654"/>
      <c r="G70" s="654"/>
      <c r="H70" s="654"/>
      <c r="I70" s="654"/>
      <c r="J70" s="654"/>
      <c r="K70" s="654"/>
      <c r="L70" s="654"/>
      <c r="M70" s="654"/>
      <c r="N70" s="654"/>
      <c r="O70" s="654"/>
      <c r="P70" s="654"/>
      <c r="Q70" s="654"/>
      <c r="R70" s="654"/>
      <c r="S70" s="654"/>
      <c r="T70" s="654"/>
      <c r="U70" s="654"/>
      <c r="V70" s="654"/>
      <c r="W70" s="654"/>
      <c r="X70" s="655"/>
      <c r="Y70" s="4"/>
      <c r="Z70" s="4"/>
      <c r="AA70" s="4"/>
      <c r="AB70" s="4"/>
    </row>
    <row r="71" spans="1:29" ht="12.6" customHeight="1">
      <c r="B71" s="652" t="s">
        <v>83</v>
      </c>
      <c r="C71" s="646"/>
      <c r="D71" s="801">
        <f>D69*'Project Assumptions'!$N$65</f>
        <v>-1195.0045704192207</v>
      </c>
      <c r="E71" s="801">
        <f>IF(E3&gt;ProjectLife,0,E69*'Project Assumptions'!$N$65)</f>
        <v>2086.4781450215291</v>
      </c>
      <c r="F71" s="801">
        <f>IF(F3&gt;ProjectLife,0,F69*'Project Assumptions'!$N$65)</f>
        <v>2287.5401021411235</v>
      </c>
      <c r="G71" s="801">
        <f>IF(G3&gt;ProjectLife,0,G69*'Project Assumptions'!$N$65)</f>
        <v>2442.4210688125995</v>
      </c>
      <c r="H71" s="801">
        <f>IF(H3&gt;ProjectLife,0,H69*'Project Assumptions'!$N$65)</f>
        <v>4844.1577368826493</v>
      </c>
      <c r="I71" s="801">
        <f>IF(I3&gt;ProjectLife,0,I69*'Project Assumptions'!$N$65)</f>
        <v>6777.5297987511385</v>
      </c>
      <c r="J71" s="801">
        <f>IF(J3&gt;ProjectLife,0,J69*'Project Assumptions'!$N$65)</f>
        <v>7175.1529324205821</v>
      </c>
      <c r="K71" s="801">
        <f>IF(K3&gt;ProjectLife,0,K69*'Project Assumptions'!$N$65)</f>
        <v>7456.7211634981923</v>
      </c>
      <c r="L71" s="801">
        <f>IF(L3&gt;ProjectLife,0,L69*'Project Assumptions'!$N$65)</f>
        <v>7978.9937175414834</v>
      </c>
      <c r="M71" s="801">
        <f>IF(M3&gt;ProjectLife,0,M69*'Project Assumptions'!$N$65)</f>
        <v>8361.3151342685924</v>
      </c>
      <c r="N71" s="801">
        <f>IF(N3&gt;ProjectLife,0,N69*'Project Assumptions'!$N$65)</f>
        <v>9071.4497885794535</v>
      </c>
      <c r="O71" s="801">
        <f>IF(O3&gt;ProjectLife,0,O69*'Project Assumptions'!$N$65)</f>
        <v>8963.3985719407119</v>
      </c>
      <c r="P71" s="801">
        <f>IF(P3&gt;ProjectLife,0,P69*'Project Assumptions'!$N$65)</f>
        <v>9478.7348196082294</v>
      </c>
      <c r="Q71" s="801">
        <f>IF(Q3&gt;ProjectLife,0,Q69*'Project Assumptions'!$N$65)</f>
        <v>9728.6907738643222</v>
      </c>
      <c r="R71" s="801">
        <f>IF(R3&gt;ProjectLife,0,R69*'Project Assumptions'!$N$65)</f>
        <v>9973.4924319079109</v>
      </c>
      <c r="S71" s="801">
        <f>IF(S3&gt;ProjectLife,0,S69*'Project Assumptions'!$N$65)</f>
        <v>10212.730172004658</v>
      </c>
      <c r="T71" s="801">
        <f>IF(T3&gt;ProjectLife,0,T69*'Project Assumptions'!$N$65)</f>
        <v>10458.864179653126</v>
      </c>
      <c r="U71" s="801">
        <f>IF(U3&gt;ProjectLife,0,U69*'Project Assumptions'!$N$65)</f>
        <v>10804.770460137182</v>
      </c>
      <c r="V71" s="801">
        <f>IF(V3&gt;ProjectLife,0,V69*'Project Assumptions'!$N$65)</f>
        <v>11183.669466295643</v>
      </c>
      <c r="W71" s="801">
        <f>IF(W3&gt;ProjectLife,0,W69*'Project Assumptions'!$N$65)</f>
        <v>11576.351732613271</v>
      </c>
      <c r="X71" s="802">
        <f>IF(X3&gt;ProjectLife+1,0,X69*'Project Assumptions'!$N$65)</f>
        <v>11991.58487960921</v>
      </c>
      <c r="Y71" s="6"/>
      <c r="Z71" s="6"/>
      <c r="AA71" s="6"/>
      <c r="AB71" s="6"/>
    </row>
    <row r="72" spans="1:29" ht="12.6" customHeight="1">
      <c r="B72" s="871" t="s">
        <v>34</v>
      </c>
      <c r="C72" s="835"/>
      <c r="D72" s="889">
        <f>D69-D71</f>
        <v>-1929.1903849251476</v>
      </c>
      <c r="E72" s="889">
        <f t="shared" ref="E72:W72" si="15">IF(E3&gt;ProjectLife,0,E69-E71)</f>
        <v>3368.3666785641685</v>
      </c>
      <c r="F72" s="889">
        <f t="shared" si="15"/>
        <v>3692.9568969206375</v>
      </c>
      <c r="G72" s="889">
        <f t="shared" si="15"/>
        <v>3942.9934901745892</v>
      </c>
      <c r="H72" s="889">
        <f t="shared" si="15"/>
        <v>7820.3069347059773</v>
      </c>
      <c r="I72" s="889">
        <f t="shared" si="15"/>
        <v>10941.502354846611</v>
      </c>
      <c r="J72" s="889">
        <f t="shared" si="15"/>
        <v>11583.416825541726</v>
      </c>
      <c r="K72" s="889">
        <f t="shared" si="15"/>
        <v>12037.974688784665</v>
      </c>
      <c r="L72" s="889">
        <f t="shared" si="15"/>
        <v>12881.12057668462</v>
      </c>
      <c r="M72" s="889">
        <f t="shared" si="15"/>
        <v>13498.33227558394</v>
      </c>
      <c r="N72" s="889">
        <f t="shared" si="15"/>
        <v>14644.758809013891</v>
      </c>
      <c r="O72" s="889">
        <f t="shared" si="15"/>
        <v>14470.323184767034</v>
      </c>
      <c r="P72" s="889">
        <f t="shared" si="15"/>
        <v>15302.271244727015</v>
      </c>
      <c r="Q72" s="889">
        <f t="shared" si="15"/>
        <v>15705.7949094411</v>
      </c>
      <c r="R72" s="889">
        <f t="shared" si="15"/>
        <v>16100.997586151989</v>
      </c>
      <c r="S72" s="889">
        <f t="shared" si="15"/>
        <v>16487.21799009903</v>
      </c>
      <c r="T72" s="889">
        <f t="shared" si="15"/>
        <v>16884.571584145902</v>
      </c>
      <c r="U72" s="889">
        <f t="shared" si="15"/>
        <v>17442.995448718197</v>
      </c>
      <c r="V72" s="889">
        <f t="shared" si="15"/>
        <v>18054.682079575323</v>
      </c>
      <c r="W72" s="889">
        <f t="shared" si="15"/>
        <v>18688.620117356069</v>
      </c>
      <c r="X72" s="890">
        <f>IF(X3&gt;ProjectLife+1,0,X69-X71)</f>
        <v>19358.963825251474</v>
      </c>
      <c r="Y72" s="42"/>
      <c r="Z72" s="42"/>
      <c r="AA72" s="42"/>
      <c r="AB72" s="42"/>
    </row>
    <row r="73" spans="1:29" ht="12.6" customHeight="1">
      <c r="B73" s="395"/>
      <c r="C73" s="188"/>
      <c r="D73" s="186"/>
      <c r="E73" s="186"/>
      <c r="F73" s="186"/>
      <c r="G73" s="186"/>
      <c r="H73" s="186"/>
      <c r="I73" s="186"/>
      <c r="J73" s="186"/>
      <c r="K73" s="186"/>
      <c r="L73" s="186"/>
      <c r="M73" s="186"/>
      <c r="N73" s="186"/>
      <c r="O73" s="186"/>
      <c r="P73" s="186"/>
      <c r="Q73" s="186"/>
      <c r="R73" s="186"/>
      <c r="S73" s="186"/>
      <c r="T73" s="186"/>
      <c r="U73" s="186"/>
      <c r="V73" s="186"/>
      <c r="W73" s="186"/>
      <c r="X73" s="4"/>
      <c r="Y73" s="4"/>
      <c r="Z73" s="4"/>
      <c r="AA73" s="4"/>
      <c r="AB73" s="4"/>
    </row>
    <row r="74" spans="1:29" ht="12.6" customHeight="1">
      <c r="B74" s="395" t="s">
        <v>296</v>
      </c>
      <c r="C74" s="184">
        <f>NPV('Project Assumptions'!$I$59,'Book Income Statement'!D74:F74)</f>
        <v>7996.8235518558658</v>
      </c>
      <c r="D74" s="185">
        <v>0</v>
      </c>
      <c r="E74" s="185">
        <v>0</v>
      </c>
      <c r="F74" s="185">
        <f>F69+F63</f>
        <v>11234.96131906176</v>
      </c>
      <c r="G74" s="401"/>
      <c r="H74" s="401"/>
      <c r="I74" s="401"/>
      <c r="J74" s="401"/>
      <c r="K74" s="401"/>
      <c r="L74" s="401"/>
      <c r="M74" s="401"/>
      <c r="N74" s="401"/>
      <c r="O74" s="401"/>
      <c r="P74" s="401"/>
      <c r="Q74" s="401"/>
      <c r="R74" s="401"/>
      <c r="S74" s="401"/>
      <c r="T74" s="401"/>
      <c r="U74" s="401"/>
      <c r="V74" s="401"/>
      <c r="W74" s="401"/>
      <c r="X74" s="11"/>
      <c r="Y74" s="11"/>
      <c r="Z74" s="11"/>
      <c r="AA74" s="11"/>
      <c r="AB74" s="11"/>
    </row>
    <row r="75" spans="1:29" ht="12.6" customHeight="1">
      <c r="B75" s="398" t="s">
        <v>297</v>
      </c>
      <c r="C75" s="184">
        <f>NPV('Project Assumptions'!$I$59,'Book Income Statement'!D75:F75)</f>
        <v>2628.5737752544164</v>
      </c>
      <c r="D75" s="184">
        <v>0</v>
      </c>
      <c r="E75" s="184">
        <v>0</v>
      </c>
      <c r="F75" s="185">
        <f>F72</f>
        <v>3692.9568969206375</v>
      </c>
      <c r="G75" s="185"/>
      <c r="H75" s="185"/>
      <c r="I75" s="185"/>
      <c r="J75" s="185"/>
      <c r="K75" s="185"/>
      <c r="L75" s="185"/>
      <c r="M75" s="185"/>
      <c r="N75" s="185"/>
      <c r="O75" s="185"/>
      <c r="P75" s="185"/>
      <c r="Q75" s="185"/>
      <c r="R75" s="185"/>
      <c r="S75" s="185"/>
      <c r="T75" s="185"/>
      <c r="U75" s="185"/>
      <c r="V75" s="185"/>
      <c r="W75" s="185"/>
      <c r="X75" s="5"/>
      <c r="Y75" s="5"/>
      <c r="Z75" s="5"/>
      <c r="AA75" s="5"/>
      <c r="AB75" s="5"/>
    </row>
    <row r="76" spans="1:29" ht="12.6" customHeight="1">
      <c r="B76" s="398"/>
      <c r="D76" s="404"/>
      <c r="E76" s="402"/>
      <c r="F76" s="402"/>
      <c r="G76" s="402"/>
      <c r="H76" s="402"/>
      <c r="I76" s="402"/>
      <c r="J76" s="402"/>
      <c r="K76" s="402"/>
      <c r="L76" s="402"/>
      <c r="M76" s="402"/>
      <c r="N76" s="402"/>
      <c r="O76" s="402"/>
      <c r="P76" s="402"/>
      <c r="Q76" s="402"/>
      <c r="R76" s="402"/>
      <c r="S76" s="402"/>
      <c r="T76" s="402"/>
      <c r="U76" s="402"/>
      <c r="V76" s="402"/>
      <c r="W76" s="402"/>
      <c r="X76" s="6"/>
      <c r="Y76" s="6"/>
      <c r="Z76" s="6"/>
      <c r="AA76" s="6"/>
      <c r="AB76" s="6"/>
    </row>
    <row r="77" spans="1:29" customFormat="1" ht="12.6" customHeight="1">
      <c r="A77" s="163"/>
      <c r="B77" s="184"/>
      <c r="C77" s="184"/>
      <c r="D77" s="184"/>
      <c r="E77" s="184"/>
      <c r="F77" s="184"/>
      <c r="G77" s="185"/>
      <c r="H77" s="163"/>
      <c r="I77" s="163"/>
      <c r="J77" s="163"/>
      <c r="K77" s="163"/>
      <c r="L77" s="163"/>
      <c r="M77" s="163"/>
      <c r="N77" s="163"/>
      <c r="O77" s="163"/>
      <c r="P77" s="163"/>
      <c r="Q77" s="163"/>
      <c r="R77" s="163"/>
      <c r="S77" s="163"/>
      <c r="T77" s="163"/>
      <c r="U77" s="163"/>
      <c r="V77" s="163"/>
      <c r="W77" s="163"/>
    </row>
    <row r="78" spans="1:29" customFormat="1" ht="12.6" customHeight="1">
      <c r="A78" s="163"/>
      <c r="B78" s="184"/>
      <c r="C78" s="184"/>
      <c r="D78" s="184"/>
      <c r="E78" s="184"/>
      <c r="F78" s="184"/>
      <c r="G78" s="184"/>
      <c r="H78" s="163"/>
      <c r="I78" s="163"/>
      <c r="J78" s="163"/>
      <c r="K78" s="163"/>
      <c r="L78" s="163"/>
      <c r="M78" s="163"/>
      <c r="N78" s="163"/>
      <c r="O78" s="163"/>
      <c r="P78" s="163"/>
      <c r="Q78" s="163"/>
      <c r="R78" s="163"/>
      <c r="S78" s="163"/>
      <c r="T78" s="163"/>
      <c r="U78" s="163"/>
      <c r="V78" s="163"/>
      <c r="W78" s="163"/>
    </row>
    <row r="79" spans="1:29" customFormat="1" ht="12.6" customHeight="1">
      <c r="A79" s="163"/>
      <c r="B79" s="163"/>
      <c r="C79" s="405"/>
      <c r="D79" s="163"/>
      <c r="E79" s="163"/>
      <c r="F79" s="163"/>
      <c r="G79" s="163"/>
      <c r="H79" s="163"/>
      <c r="I79" s="163"/>
      <c r="J79" s="163"/>
      <c r="K79" s="163"/>
      <c r="L79" s="163"/>
      <c r="M79" s="163"/>
      <c r="N79" s="163"/>
      <c r="O79" s="163"/>
      <c r="P79" s="163"/>
      <c r="Q79" s="163"/>
      <c r="R79" s="163"/>
      <c r="S79" s="163"/>
      <c r="T79" s="163"/>
      <c r="U79" s="163"/>
      <c r="V79" s="163"/>
      <c r="W79" s="163"/>
    </row>
    <row r="80" spans="1:29" customFormat="1" ht="12.6" customHeight="1">
      <c r="A80" s="163"/>
      <c r="B80" s="405"/>
      <c r="C80" s="184"/>
      <c r="D80" s="405"/>
      <c r="E80" s="405"/>
      <c r="F80" s="405"/>
      <c r="G80" s="405"/>
      <c r="H80" s="405"/>
      <c r="I80" s="405"/>
      <c r="J80" s="405"/>
      <c r="K80" s="405"/>
      <c r="L80" s="405"/>
      <c r="M80" s="405"/>
      <c r="N80" s="405"/>
      <c r="O80" s="405"/>
      <c r="P80" s="405"/>
      <c r="Q80" s="405"/>
      <c r="R80" s="405"/>
      <c r="S80" s="405"/>
      <c r="T80" s="405"/>
      <c r="U80" s="405"/>
      <c r="V80" s="405"/>
      <c r="W80" s="405"/>
    </row>
    <row r="81" spans="1:28" customFormat="1" ht="12.6" customHeight="1">
      <c r="A81" s="163"/>
      <c r="B81" s="405"/>
      <c r="C81" s="405"/>
      <c r="D81" s="405"/>
      <c r="E81" s="405"/>
      <c r="F81" s="405"/>
      <c r="G81" s="405"/>
      <c r="H81" s="405"/>
      <c r="I81" s="405"/>
      <c r="J81" s="405"/>
      <c r="K81" s="405"/>
      <c r="L81" s="405"/>
      <c r="M81" s="405"/>
      <c r="N81" s="405"/>
      <c r="O81" s="405"/>
      <c r="P81" s="405"/>
      <c r="Q81" s="405"/>
      <c r="R81" s="405"/>
      <c r="S81" s="405"/>
      <c r="T81" s="405"/>
      <c r="U81" s="405"/>
      <c r="V81" s="405"/>
      <c r="W81" s="405"/>
    </row>
    <row r="82" spans="1:28" ht="12.6" customHeight="1">
      <c r="B82" s="406"/>
      <c r="C82" s="407"/>
      <c r="D82" s="405"/>
      <c r="E82" s="405"/>
      <c r="F82" s="405"/>
      <c r="G82" s="405"/>
      <c r="H82" s="405"/>
      <c r="I82" s="405"/>
      <c r="J82" s="405"/>
      <c r="K82" s="405"/>
      <c r="L82" s="405"/>
      <c r="M82" s="405"/>
      <c r="N82" s="405"/>
      <c r="O82" s="405"/>
      <c r="P82" s="405"/>
      <c r="Q82" s="405"/>
      <c r="R82" s="405"/>
      <c r="S82" s="405"/>
      <c r="T82" s="405"/>
      <c r="U82" s="405"/>
      <c r="V82" s="405"/>
      <c r="W82" s="405"/>
      <c r="X82" s="41"/>
      <c r="Y82" s="41"/>
      <c r="Z82" s="41"/>
      <c r="AA82" s="41"/>
      <c r="AB82" s="41"/>
    </row>
    <row r="83" spans="1:28" customFormat="1" ht="12.6" customHeight="1">
      <c r="A83" s="163"/>
      <c r="B83" s="406"/>
      <c r="C83" s="407"/>
      <c r="D83" s="405"/>
      <c r="E83" s="405"/>
      <c r="F83" s="405"/>
      <c r="G83" s="405"/>
      <c r="H83" s="405"/>
      <c r="I83" s="405"/>
      <c r="J83" s="405"/>
      <c r="K83" s="405"/>
      <c r="L83" s="405"/>
      <c r="M83" s="405"/>
      <c r="N83" s="405"/>
      <c r="O83" s="405"/>
      <c r="P83" s="405"/>
      <c r="Q83" s="405"/>
      <c r="R83" s="405"/>
      <c r="S83" s="405"/>
      <c r="T83" s="405"/>
      <c r="U83" s="405"/>
      <c r="V83" s="405"/>
      <c r="W83" s="405"/>
    </row>
    <row r="84" spans="1:28" customFormat="1" ht="12.6" customHeight="1">
      <c r="A84" s="163"/>
      <c r="B84" s="405"/>
      <c r="C84" s="408"/>
      <c r="D84" s="405"/>
      <c r="E84" s="405"/>
      <c r="F84" s="405"/>
      <c r="G84" s="405"/>
      <c r="H84" s="405"/>
      <c r="I84" s="405"/>
      <c r="J84" s="405"/>
      <c r="K84" s="405"/>
      <c r="L84" s="405"/>
      <c r="M84" s="405"/>
      <c r="N84" s="405"/>
      <c r="O84" s="405"/>
      <c r="P84" s="405"/>
      <c r="Q84" s="405"/>
      <c r="R84" s="405"/>
      <c r="S84" s="405"/>
      <c r="T84" s="405"/>
      <c r="U84" s="405"/>
      <c r="V84" s="405"/>
      <c r="W84" s="405"/>
    </row>
    <row r="85" spans="1:28" customFormat="1" ht="12.6" customHeight="1">
      <c r="A85" s="163"/>
      <c r="B85" s="405"/>
      <c r="C85" s="408"/>
      <c r="D85" s="405"/>
      <c r="E85" s="405"/>
      <c r="F85" s="405"/>
      <c r="G85" s="405"/>
      <c r="H85" s="405"/>
      <c r="I85" s="405"/>
      <c r="J85" s="405"/>
      <c r="K85" s="405"/>
      <c r="L85" s="405"/>
      <c r="M85" s="405"/>
      <c r="N85" s="405"/>
      <c r="O85" s="405"/>
      <c r="P85" s="405"/>
      <c r="Q85" s="405"/>
      <c r="R85" s="405"/>
      <c r="S85" s="405"/>
      <c r="T85" s="405"/>
      <c r="U85" s="405"/>
      <c r="V85" s="405"/>
      <c r="W85" s="405"/>
    </row>
    <row r="86" spans="1:28" customFormat="1" ht="12.6" customHeight="1">
      <c r="A86" s="163"/>
      <c r="B86" s="405"/>
      <c r="C86" s="163"/>
      <c r="D86" s="405"/>
      <c r="E86" s="405"/>
      <c r="F86" s="405"/>
      <c r="G86" s="405"/>
      <c r="H86" s="405"/>
      <c r="I86" s="405"/>
      <c r="J86" s="405"/>
      <c r="K86" s="405"/>
      <c r="L86" s="405"/>
      <c r="M86" s="405"/>
      <c r="N86" s="405"/>
      <c r="O86" s="405"/>
      <c r="P86" s="405"/>
      <c r="Q86" s="405"/>
      <c r="R86" s="405"/>
      <c r="S86" s="405"/>
      <c r="T86" s="405"/>
      <c r="U86" s="405"/>
      <c r="V86" s="405"/>
      <c r="W86" s="405"/>
    </row>
    <row r="87" spans="1:28" customFormat="1" ht="12.6" customHeight="1">
      <c r="A87" s="163"/>
      <c r="B87" s="405"/>
      <c r="C87" s="163"/>
      <c r="D87" s="405"/>
      <c r="E87" s="405"/>
      <c r="F87" s="405"/>
      <c r="G87" s="405"/>
      <c r="H87" s="405"/>
      <c r="I87" s="405"/>
      <c r="J87" s="405"/>
      <c r="K87" s="405"/>
      <c r="L87" s="405"/>
      <c r="M87" s="405"/>
      <c r="N87" s="405"/>
      <c r="O87" s="405"/>
      <c r="P87" s="405"/>
      <c r="Q87" s="405"/>
      <c r="R87" s="405"/>
      <c r="S87" s="405"/>
      <c r="T87" s="405"/>
      <c r="U87" s="405"/>
      <c r="V87" s="405"/>
      <c r="W87" s="405"/>
    </row>
    <row r="88" spans="1:28" customFormat="1" ht="12.6" customHeight="1">
      <c r="A88" s="163"/>
      <c r="B88" s="163"/>
      <c r="C88" s="163"/>
      <c r="D88" s="163"/>
      <c r="E88" s="163"/>
      <c r="F88" s="163"/>
      <c r="G88" s="163"/>
      <c r="H88" s="163"/>
      <c r="I88" s="163"/>
      <c r="J88" s="163"/>
      <c r="K88" s="163"/>
      <c r="L88" s="163"/>
      <c r="M88" s="163"/>
      <c r="N88" s="163"/>
      <c r="O88" s="163"/>
      <c r="P88" s="163"/>
      <c r="Q88" s="163"/>
      <c r="R88" s="163"/>
      <c r="S88" s="163"/>
      <c r="T88" s="163"/>
      <c r="U88" s="163"/>
      <c r="V88" s="163"/>
      <c r="W88" s="163"/>
    </row>
    <row r="89" spans="1:28" customFormat="1" ht="12.6" customHeight="1">
      <c r="A89" s="163"/>
      <c r="B89" s="163"/>
      <c r="C89" s="163"/>
      <c r="D89" s="163"/>
      <c r="E89" s="163"/>
      <c r="F89" s="163"/>
      <c r="G89" s="163"/>
      <c r="H89" s="163"/>
      <c r="I89" s="163"/>
      <c r="J89" s="163"/>
      <c r="K89" s="163"/>
      <c r="L89" s="163"/>
      <c r="M89" s="163"/>
      <c r="N89" s="163"/>
      <c r="O89" s="163"/>
      <c r="P89" s="163"/>
      <c r="Q89" s="163"/>
      <c r="R89" s="163"/>
      <c r="S89" s="163"/>
      <c r="T89" s="163"/>
      <c r="U89" s="163"/>
      <c r="V89" s="163"/>
      <c r="W89" s="163"/>
    </row>
    <row r="90" spans="1:28" customFormat="1" ht="12.6" customHeight="1">
      <c r="A90" s="163"/>
      <c r="B90" s="163"/>
      <c r="C90" s="163"/>
      <c r="D90" s="163"/>
      <c r="E90" s="163"/>
      <c r="F90" s="163"/>
      <c r="G90" s="163"/>
      <c r="H90" s="163"/>
      <c r="I90" s="163"/>
      <c r="J90" s="163"/>
      <c r="K90" s="163"/>
      <c r="L90" s="163"/>
      <c r="M90" s="163"/>
      <c r="N90" s="163"/>
      <c r="O90" s="163"/>
      <c r="P90" s="163"/>
      <c r="Q90" s="163"/>
      <c r="R90" s="163"/>
      <c r="S90" s="163"/>
      <c r="T90" s="163"/>
      <c r="U90" s="163"/>
      <c r="V90" s="163"/>
      <c r="W90" s="163"/>
    </row>
    <row r="91" spans="1:28" customFormat="1" ht="12.6" customHeight="1">
      <c r="A91" s="163"/>
      <c r="B91" s="163"/>
      <c r="C91" s="163"/>
      <c r="D91" s="163"/>
      <c r="E91" s="163"/>
      <c r="F91" s="163"/>
      <c r="G91" s="163"/>
      <c r="H91" s="163"/>
      <c r="I91" s="163"/>
      <c r="J91" s="163"/>
      <c r="K91" s="163"/>
      <c r="L91" s="163"/>
      <c r="M91" s="163"/>
      <c r="N91" s="163"/>
      <c r="O91" s="163"/>
      <c r="P91" s="163"/>
      <c r="Q91" s="163"/>
      <c r="R91" s="163"/>
      <c r="S91" s="163"/>
      <c r="T91" s="163"/>
      <c r="U91" s="163"/>
      <c r="V91" s="163"/>
      <c r="W91" s="163"/>
    </row>
    <row r="92" spans="1:28" customFormat="1" ht="12.6" customHeight="1">
      <c r="A92" s="163"/>
      <c r="B92" s="163"/>
      <c r="C92" s="163"/>
      <c r="D92" s="163"/>
      <c r="E92" s="163"/>
      <c r="F92" s="163"/>
      <c r="G92" s="163"/>
      <c r="H92" s="163"/>
      <c r="I92" s="163"/>
      <c r="J92" s="163"/>
      <c r="K92" s="163"/>
      <c r="L92" s="163"/>
      <c r="M92" s="163"/>
      <c r="N92" s="163"/>
      <c r="O92" s="163"/>
      <c r="P92" s="163"/>
      <c r="Q92" s="163"/>
      <c r="R92" s="163"/>
      <c r="S92" s="163"/>
      <c r="T92" s="163"/>
      <c r="U92" s="163"/>
      <c r="V92" s="163"/>
      <c r="W92" s="163"/>
    </row>
    <row r="93" spans="1:28" customFormat="1" ht="12.6"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row>
    <row r="94" spans="1:28" ht="12.6" customHeight="1">
      <c r="B94" s="397"/>
      <c r="D94" s="409"/>
      <c r="E94" s="409"/>
      <c r="F94" s="409"/>
      <c r="G94" s="409"/>
      <c r="H94" s="409"/>
      <c r="I94" s="409"/>
      <c r="J94" s="409"/>
      <c r="K94" s="409"/>
      <c r="L94" s="409"/>
      <c r="M94" s="409"/>
      <c r="N94" s="409"/>
      <c r="O94" s="409"/>
      <c r="P94" s="409"/>
      <c r="Q94" s="409"/>
      <c r="R94" s="409"/>
      <c r="S94" s="409"/>
      <c r="T94" s="409"/>
      <c r="U94" s="409"/>
      <c r="V94" s="409"/>
      <c r="W94" s="409"/>
      <c r="X94" s="10"/>
      <c r="Y94" s="10"/>
      <c r="Z94" s="10"/>
      <c r="AA94" s="10"/>
      <c r="AB94" s="10"/>
    </row>
    <row r="95" spans="1:28" ht="12.6" customHeight="1">
      <c r="B95" s="397"/>
      <c r="D95" s="409"/>
      <c r="E95" s="409"/>
      <c r="F95" s="409"/>
      <c r="G95" s="409"/>
      <c r="H95" s="409"/>
      <c r="I95" s="409"/>
      <c r="J95" s="409"/>
      <c r="K95" s="409"/>
      <c r="L95" s="409"/>
      <c r="M95" s="185"/>
      <c r="N95" s="185"/>
      <c r="O95" s="185"/>
      <c r="P95" s="185"/>
      <c r="Q95" s="185"/>
      <c r="R95" s="185"/>
      <c r="S95" s="185"/>
      <c r="T95" s="185"/>
      <c r="U95" s="185"/>
      <c r="V95" s="185"/>
      <c r="W95" s="185"/>
      <c r="X95" s="5"/>
      <c r="Y95" s="5"/>
      <c r="Z95" s="5"/>
      <c r="AA95" s="5"/>
      <c r="AB95" s="5"/>
    </row>
    <row r="96" spans="1:28" ht="12.6" customHeight="1">
      <c r="B96" s="397"/>
      <c r="D96" s="409"/>
      <c r="E96" s="409"/>
      <c r="F96" s="409"/>
      <c r="G96" s="409"/>
      <c r="H96" s="409"/>
      <c r="I96" s="409"/>
      <c r="J96" s="409"/>
      <c r="K96" s="409"/>
      <c r="L96" s="409"/>
      <c r="M96" s="185"/>
      <c r="N96" s="185"/>
      <c r="O96" s="185"/>
      <c r="P96" s="185"/>
      <c r="Q96" s="185"/>
      <c r="R96" s="185"/>
      <c r="S96" s="185"/>
      <c r="T96" s="185"/>
      <c r="U96" s="185"/>
      <c r="V96" s="185"/>
      <c r="W96" s="185"/>
      <c r="X96" s="5"/>
      <c r="Y96" s="5"/>
      <c r="Z96" s="5"/>
      <c r="AA96" s="5"/>
      <c r="AB96" s="5"/>
    </row>
    <row r="97" spans="1:28" ht="12.6" customHeight="1">
      <c r="B97" s="397"/>
      <c r="D97" s="185"/>
      <c r="E97" s="185"/>
      <c r="F97" s="185"/>
      <c r="G97" s="185"/>
      <c r="H97" s="185"/>
      <c r="I97" s="185"/>
      <c r="J97" s="185"/>
      <c r="K97" s="185"/>
      <c r="L97" s="185"/>
      <c r="M97" s="185"/>
      <c r="N97" s="185"/>
      <c r="O97" s="185"/>
      <c r="P97" s="185"/>
      <c r="Q97" s="185"/>
      <c r="R97" s="185"/>
      <c r="S97" s="185"/>
      <c r="T97" s="185"/>
      <c r="U97" s="185"/>
      <c r="V97" s="185"/>
      <c r="W97" s="185"/>
      <c r="X97" s="5"/>
      <c r="Y97" s="5"/>
      <c r="Z97" s="5"/>
      <c r="AA97" s="5"/>
      <c r="AB97" s="5"/>
    </row>
    <row r="98" spans="1:28" ht="12.6" customHeight="1">
      <c r="B98" s="397"/>
      <c r="D98" s="185"/>
      <c r="E98" s="185"/>
      <c r="F98" s="185"/>
      <c r="G98" s="185"/>
      <c r="H98" s="185"/>
      <c r="I98" s="185"/>
      <c r="J98" s="185"/>
      <c r="K98" s="185"/>
      <c r="L98" s="185"/>
      <c r="M98" s="185"/>
      <c r="N98" s="185"/>
      <c r="O98" s="185"/>
      <c r="P98" s="185"/>
      <c r="Q98" s="185"/>
      <c r="R98" s="185"/>
      <c r="S98" s="185"/>
      <c r="T98" s="185"/>
      <c r="U98" s="185"/>
      <c r="V98" s="185"/>
      <c r="W98" s="185"/>
      <c r="X98" s="5"/>
      <c r="Y98" s="5"/>
      <c r="Z98" s="5"/>
      <c r="AA98" s="5"/>
      <c r="AB98" s="5"/>
    </row>
    <row r="99" spans="1:28" customFormat="1" ht="12.6" customHeight="1">
      <c r="A99" s="163"/>
      <c r="B99" s="163"/>
      <c r="C99" s="163"/>
      <c r="D99" s="163"/>
      <c r="E99" s="163"/>
      <c r="F99" s="163"/>
      <c r="G99" s="163"/>
      <c r="H99" s="163"/>
      <c r="I99" s="163"/>
      <c r="J99" s="163"/>
      <c r="K99" s="163"/>
      <c r="L99" s="163"/>
      <c r="M99" s="163"/>
      <c r="N99" s="163"/>
      <c r="O99" s="163"/>
      <c r="P99" s="163"/>
      <c r="Q99" s="163"/>
      <c r="R99" s="163"/>
      <c r="S99" s="163"/>
      <c r="T99" s="163"/>
      <c r="U99" s="163"/>
      <c r="V99" s="163"/>
      <c r="W99" s="163"/>
    </row>
    <row r="100" spans="1:28" customFormat="1" ht="12.6" customHeight="1">
      <c r="A100" s="16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row>
    <row r="101" spans="1:28" customFormat="1" ht="12.6" customHeight="1">
      <c r="A101" s="16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row>
    <row r="102" spans="1:28" ht="12.6" customHeight="1">
      <c r="B102" s="397"/>
      <c r="D102" s="410"/>
      <c r="E102" s="410"/>
      <c r="F102" s="410"/>
      <c r="G102" s="410"/>
      <c r="H102" s="410"/>
      <c r="I102" s="410"/>
      <c r="J102" s="410"/>
      <c r="K102" s="410"/>
      <c r="L102" s="410"/>
      <c r="M102" s="410"/>
      <c r="N102" s="410"/>
      <c r="O102" s="410"/>
      <c r="P102" s="410"/>
      <c r="Q102" s="410"/>
      <c r="R102" s="410"/>
      <c r="S102" s="410"/>
      <c r="T102" s="410"/>
      <c r="U102" s="410"/>
      <c r="V102" s="410"/>
      <c r="W102" s="410"/>
      <c r="X102" s="8"/>
      <c r="Y102" s="8"/>
      <c r="Z102" s="8"/>
      <c r="AA102" s="8"/>
      <c r="AB102" s="8"/>
    </row>
    <row r="103" spans="1:28" ht="12.6" customHeight="1">
      <c r="B103" s="397"/>
      <c r="D103" s="185"/>
      <c r="E103" s="185"/>
      <c r="F103" s="185"/>
      <c r="G103" s="185"/>
      <c r="H103" s="185"/>
      <c r="I103" s="185"/>
      <c r="J103" s="185"/>
      <c r="K103" s="185"/>
      <c r="L103" s="185"/>
      <c r="M103" s="185"/>
      <c r="N103" s="185"/>
      <c r="O103" s="185"/>
      <c r="P103" s="185"/>
      <c r="Q103" s="185"/>
      <c r="R103" s="185"/>
      <c r="S103" s="185"/>
      <c r="T103" s="185"/>
      <c r="U103" s="185"/>
      <c r="V103" s="185"/>
      <c r="W103" s="185"/>
      <c r="X103" s="5"/>
      <c r="Y103" s="5"/>
      <c r="Z103" s="5"/>
      <c r="AA103" s="5"/>
      <c r="AB103" s="5"/>
    </row>
    <row r="114" spans="1:23" customFormat="1" ht="12.6" customHeight="1">
      <c r="A114" s="16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row>
    <row r="115" spans="1:23" customFormat="1" ht="12.6" customHeight="1">
      <c r="A115" s="16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row>
    <row r="116" spans="1:23" customFormat="1" ht="12.6" customHeight="1">
      <c r="A116" s="16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row>
    <row r="117" spans="1:23" customFormat="1" ht="12.6" customHeight="1">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row>
    <row r="118" spans="1:23" customFormat="1" ht="12.6" customHeight="1">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row>
    <row r="119" spans="1:23" customFormat="1" ht="12.6" customHeight="1">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row>
    <row r="120" spans="1:23" customFormat="1" ht="12.6" customHeight="1">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row>
    <row r="121" spans="1:23" customFormat="1" ht="12.6" customHeight="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row>
    <row r="122" spans="1:23" customFormat="1" ht="12.6" customHeight="1">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row>
    <row r="123" spans="1:23" customFormat="1" ht="12.6" customHeight="1">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row>
    <row r="124" spans="1:23" customFormat="1" ht="12.6" customHeight="1">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row>
    <row r="125" spans="1:23" customFormat="1" ht="12.6" customHeight="1">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row>
    <row r="126" spans="1:23" customFormat="1" ht="12.6" customHeight="1">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row>
    <row r="127" spans="1:23" customFormat="1" ht="12.6" customHeight="1">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row>
    <row r="128" spans="1:23" customFormat="1" ht="12.6" customHeight="1">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row>
    <row r="129" spans="1:23" customFormat="1" ht="12.6" customHeight="1">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row>
    <row r="130" spans="1:23" customFormat="1" ht="12.6" customHeight="1">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row>
    <row r="131" spans="1:23" customFormat="1" ht="12.6" customHeight="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row>
    <row r="132" spans="1:23" customFormat="1" ht="12.6" customHeight="1">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row>
    <row r="133" spans="1:23" customFormat="1" ht="12.6" customHeight="1">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row>
    <row r="134" spans="1:23" customFormat="1" ht="12.6" customHeight="1">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row>
    <row r="135" spans="1:23" customFormat="1" ht="12.6" customHeight="1">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row>
    <row r="136" spans="1:23" customFormat="1" ht="12.6" customHeight="1">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row>
    <row r="137" spans="1:23" customFormat="1" ht="12.6" customHeight="1">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row>
    <row r="138" spans="1:23" customFormat="1" ht="12.6" customHeight="1">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row>
    <row r="139" spans="1:23" customFormat="1" ht="12.6" customHeight="1">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row>
    <row r="233" spans="4:28" ht="12.6" customHeight="1">
      <c r="D233" s="186"/>
      <c r="E233" s="186"/>
      <c r="F233" s="186"/>
      <c r="G233" s="186"/>
      <c r="H233" s="186"/>
      <c r="I233" s="186"/>
      <c r="J233" s="186"/>
      <c r="K233" s="186"/>
      <c r="L233" s="186"/>
      <c r="M233" s="186"/>
      <c r="N233" s="186"/>
      <c r="O233" s="186"/>
      <c r="P233" s="186"/>
      <c r="Q233" s="186"/>
      <c r="R233" s="186"/>
      <c r="S233" s="186"/>
      <c r="T233" s="186"/>
      <c r="U233" s="186"/>
      <c r="V233" s="186"/>
      <c r="W233" s="186"/>
      <c r="X233" s="4"/>
      <c r="Y233" s="4"/>
      <c r="Z233" s="4"/>
      <c r="AA233" s="4"/>
      <c r="AB233" s="4"/>
    </row>
    <row r="234" spans="4:28" ht="12.6" customHeight="1">
      <c r="D234" s="186"/>
      <c r="E234" s="186"/>
      <c r="F234" s="186"/>
      <c r="G234" s="186"/>
      <c r="H234" s="186"/>
      <c r="I234" s="186"/>
      <c r="J234" s="186"/>
      <c r="K234" s="186"/>
      <c r="L234" s="186"/>
      <c r="M234" s="186"/>
      <c r="N234" s="186"/>
      <c r="O234" s="186"/>
      <c r="P234" s="186"/>
      <c r="Q234" s="186"/>
      <c r="R234" s="186"/>
      <c r="S234" s="186"/>
      <c r="T234" s="186"/>
      <c r="U234" s="186"/>
      <c r="V234" s="186"/>
      <c r="W234" s="186"/>
      <c r="X234" s="4"/>
      <c r="Y234" s="4"/>
      <c r="Z234" s="4"/>
      <c r="AA234" s="4"/>
      <c r="AB234" s="4"/>
    </row>
    <row r="235" spans="4:28" ht="12.6" customHeight="1">
      <c r="D235" s="186"/>
      <c r="E235" s="186"/>
      <c r="F235" s="186"/>
      <c r="G235" s="186"/>
      <c r="H235" s="186"/>
      <c r="I235" s="186"/>
      <c r="J235" s="186"/>
      <c r="K235" s="186"/>
      <c r="L235" s="186"/>
      <c r="M235" s="186"/>
      <c r="N235" s="186"/>
      <c r="O235" s="186"/>
      <c r="P235" s="186"/>
      <c r="Q235" s="186"/>
      <c r="R235" s="186"/>
      <c r="S235" s="186"/>
      <c r="T235" s="186"/>
      <c r="U235" s="186"/>
      <c r="V235" s="186"/>
      <c r="W235" s="186"/>
      <c r="X235" s="4"/>
      <c r="Y235" s="4"/>
      <c r="Z235" s="4"/>
      <c r="AA235" s="4"/>
      <c r="AB235" s="4"/>
    </row>
    <row r="236" spans="4:28" ht="12.6" customHeight="1">
      <c r="D236" s="186"/>
      <c r="E236" s="186"/>
      <c r="F236" s="186"/>
      <c r="G236" s="186"/>
      <c r="H236" s="186"/>
      <c r="I236" s="186"/>
      <c r="J236" s="186"/>
      <c r="K236" s="186"/>
      <c r="L236" s="186"/>
      <c r="M236" s="186"/>
      <c r="N236" s="186"/>
      <c r="O236" s="186"/>
      <c r="P236" s="186"/>
      <c r="Q236" s="186"/>
      <c r="R236" s="186"/>
      <c r="S236" s="186"/>
      <c r="T236" s="186"/>
      <c r="U236" s="186"/>
      <c r="V236" s="186"/>
      <c r="W236" s="186"/>
      <c r="X236" s="4"/>
      <c r="Y236" s="4"/>
      <c r="Z236" s="4"/>
      <c r="AA236" s="4"/>
      <c r="AB236" s="4"/>
    </row>
    <row r="237" spans="4:28" ht="12.6" customHeight="1">
      <c r="D237" s="186"/>
      <c r="E237" s="186"/>
      <c r="F237" s="186"/>
      <c r="G237" s="186"/>
      <c r="H237" s="186"/>
      <c r="I237" s="186"/>
      <c r="J237" s="186"/>
      <c r="K237" s="186"/>
      <c r="L237" s="186"/>
      <c r="M237" s="186"/>
      <c r="N237" s="186"/>
      <c r="O237" s="186"/>
      <c r="P237" s="186"/>
      <c r="Q237" s="186"/>
      <c r="R237" s="186"/>
      <c r="S237" s="186"/>
      <c r="T237" s="186"/>
      <c r="U237" s="186"/>
      <c r="V237" s="186"/>
      <c r="W237" s="186"/>
      <c r="X237" s="4"/>
      <c r="Y237" s="4"/>
      <c r="Z237" s="4"/>
      <c r="AA237" s="4"/>
      <c r="AB237" s="4"/>
    </row>
    <row r="238" spans="4:28" ht="12.6" customHeight="1">
      <c r="D238" s="186"/>
      <c r="E238" s="186"/>
      <c r="F238" s="186"/>
      <c r="G238" s="186"/>
      <c r="H238" s="186"/>
      <c r="I238" s="186"/>
      <c r="J238" s="186"/>
      <c r="K238" s="186"/>
      <c r="L238" s="186"/>
      <c r="M238" s="186"/>
      <c r="N238" s="186"/>
      <c r="O238" s="186"/>
      <c r="P238" s="186"/>
      <c r="Q238" s="186"/>
      <c r="R238" s="186"/>
      <c r="S238" s="186"/>
      <c r="T238" s="186"/>
      <c r="U238" s="186"/>
      <c r="V238" s="186"/>
      <c r="W238" s="186"/>
      <c r="X238" s="4"/>
      <c r="Y238" s="4"/>
      <c r="Z238" s="4"/>
      <c r="AA238" s="4"/>
      <c r="AB238" s="4"/>
    </row>
    <row r="239" spans="4:28" ht="12.6" customHeight="1">
      <c r="D239" s="186"/>
      <c r="E239" s="186"/>
      <c r="F239" s="186"/>
      <c r="G239" s="186"/>
      <c r="H239" s="186"/>
      <c r="I239" s="186"/>
      <c r="J239" s="186"/>
      <c r="K239" s="186"/>
      <c r="L239" s="186"/>
      <c r="M239" s="186"/>
      <c r="N239" s="186"/>
      <c r="O239" s="186"/>
      <c r="P239" s="186"/>
      <c r="Q239" s="186"/>
      <c r="R239" s="186"/>
      <c r="S239" s="186"/>
      <c r="T239" s="186"/>
      <c r="U239" s="186"/>
      <c r="V239" s="186"/>
      <c r="W239" s="186"/>
      <c r="X239" s="4"/>
      <c r="Y239" s="4"/>
      <c r="Z239" s="4"/>
      <c r="AA239" s="4"/>
      <c r="AB239" s="4"/>
    </row>
    <row r="240" spans="4:28" ht="12.6" customHeight="1">
      <c r="D240" s="186"/>
      <c r="E240" s="186"/>
      <c r="F240" s="186"/>
      <c r="G240" s="186"/>
      <c r="H240" s="186"/>
      <c r="I240" s="186"/>
      <c r="J240" s="186"/>
      <c r="K240" s="186"/>
      <c r="L240" s="186"/>
      <c r="M240" s="186"/>
      <c r="N240" s="186"/>
      <c r="O240" s="186"/>
      <c r="P240" s="186"/>
      <c r="Q240" s="186"/>
      <c r="R240" s="186"/>
      <c r="S240" s="186"/>
      <c r="T240" s="186"/>
      <c r="U240" s="186"/>
      <c r="V240" s="186"/>
      <c r="W240" s="186"/>
      <c r="X240" s="4"/>
      <c r="Y240" s="4"/>
      <c r="Z240" s="4"/>
      <c r="AA240" s="4"/>
      <c r="AB240" s="4"/>
    </row>
    <row r="241" spans="1:28" ht="12.6" customHeight="1">
      <c r="D241" s="186"/>
      <c r="E241" s="186"/>
      <c r="F241" s="186"/>
      <c r="G241" s="186"/>
      <c r="H241" s="186"/>
      <c r="I241" s="186"/>
      <c r="J241" s="186"/>
      <c r="K241" s="186"/>
      <c r="L241" s="186"/>
      <c r="M241" s="186"/>
      <c r="N241" s="186"/>
      <c r="O241" s="186"/>
      <c r="P241" s="186"/>
      <c r="Q241" s="186"/>
      <c r="R241" s="186"/>
      <c r="S241" s="186"/>
      <c r="T241" s="186"/>
      <c r="U241" s="186"/>
      <c r="V241" s="186"/>
      <c r="W241" s="186"/>
      <c r="X241" s="4"/>
      <c r="Y241" s="4"/>
      <c r="Z241" s="4"/>
      <c r="AA241" s="4"/>
      <c r="AB241" s="4"/>
    </row>
    <row r="242" spans="1:28" ht="12.6" customHeight="1">
      <c r="D242" s="186"/>
      <c r="E242" s="186"/>
      <c r="F242" s="186"/>
      <c r="G242" s="186"/>
      <c r="H242" s="186"/>
      <c r="I242" s="186"/>
      <c r="J242" s="186"/>
      <c r="K242" s="186"/>
      <c r="L242" s="186"/>
      <c r="M242" s="186"/>
      <c r="N242" s="186"/>
      <c r="O242" s="186"/>
      <c r="P242" s="186"/>
      <c r="Q242" s="186"/>
      <c r="R242" s="186"/>
      <c r="S242" s="186"/>
      <c r="T242" s="186"/>
      <c r="U242" s="186"/>
      <c r="V242" s="186"/>
      <c r="W242" s="186"/>
      <c r="X242" s="4"/>
      <c r="Y242" s="4"/>
      <c r="Z242" s="4"/>
      <c r="AA242" s="4"/>
      <c r="AB242" s="4"/>
    </row>
    <row r="243" spans="1:28" ht="12.6" customHeight="1">
      <c r="D243" s="186"/>
      <c r="E243" s="186"/>
      <c r="F243" s="186"/>
      <c r="G243" s="186"/>
      <c r="H243" s="186"/>
      <c r="I243" s="186"/>
      <c r="J243" s="186"/>
      <c r="K243" s="186"/>
      <c r="L243" s="186"/>
      <c r="M243" s="186"/>
      <c r="N243" s="186"/>
      <c r="O243" s="186"/>
      <c r="P243" s="186"/>
      <c r="Q243" s="186"/>
      <c r="R243" s="186"/>
      <c r="S243" s="186"/>
      <c r="T243" s="186"/>
      <c r="U243" s="186"/>
      <c r="V243" s="186"/>
      <c r="W243" s="186"/>
      <c r="X243" s="4"/>
      <c r="Y243" s="4"/>
      <c r="Z243" s="4"/>
      <c r="AA243" s="4"/>
      <c r="AB243" s="4"/>
    </row>
    <row r="244" spans="1:28" ht="12.6" customHeight="1">
      <c r="D244" s="186"/>
      <c r="E244" s="186"/>
      <c r="F244" s="186"/>
      <c r="G244" s="186"/>
      <c r="H244" s="186"/>
      <c r="I244" s="186"/>
      <c r="J244" s="186"/>
      <c r="K244" s="186"/>
      <c r="L244" s="186"/>
      <c r="M244" s="186"/>
      <c r="N244" s="186"/>
      <c r="O244" s="186"/>
      <c r="P244" s="186"/>
      <c r="Q244" s="186"/>
      <c r="R244" s="186"/>
      <c r="S244" s="186"/>
      <c r="T244" s="186"/>
      <c r="U244" s="186"/>
      <c r="V244" s="186"/>
      <c r="W244" s="186"/>
      <c r="X244" s="4"/>
      <c r="Y244" s="4"/>
      <c r="Z244" s="4"/>
      <c r="AA244" s="4"/>
      <c r="AB244" s="4"/>
    </row>
    <row r="245" spans="1:28" ht="12.6" customHeight="1">
      <c r="D245" s="186"/>
      <c r="E245" s="186"/>
      <c r="F245" s="186"/>
      <c r="G245" s="186"/>
      <c r="H245" s="186"/>
      <c r="I245" s="186"/>
      <c r="J245" s="186"/>
      <c r="K245" s="186"/>
      <c r="L245" s="186"/>
      <c r="M245" s="186"/>
      <c r="N245" s="186"/>
      <c r="O245" s="186"/>
      <c r="P245" s="186"/>
      <c r="Q245" s="186"/>
      <c r="R245" s="186"/>
      <c r="S245" s="186"/>
      <c r="T245" s="186"/>
      <c r="U245" s="186"/>
      <c r="V245" s="186"/>
      <c r="W245" s="186"/>
      <c r="X245" s="4"/>
      <c r="Y245" s="4"/>
      <c r="Z245" s="4"/>
      <c r="AA245" s="4"/>
      <c r="AB245" s="4"/>
    </row>
    <row r="246" spans="1:28" ht="12.6" customHeight="1">
      <c r="D246" s="186"/>
      <c r="E246" s="186"/>
      <c r="F246" s="186"/>
      <c r="G246" s="186"/>
      <c r="H246" s="186"/>
      <c r="I246" s="186"/>
      <c r="J246" s="186"/>
      <c r="K246" s="186"/>
      <c r="L246" s="186"/>
      <c r="M246" s="186"/>
      <c r="N246" s="186"/>
      <c r="O246" s="186"/>
      <c r="P246" s="186"/>
      <c r="Q246" s="186"/>
      <c r="R246" s="186"/>
      <c r="S246" s="186"/>
      <c r="T246" s="186"/>
      <c r="U246" s="186"/>
      <c r="V246" s="186"/>
      <c r="W246" s="186"/>
      <c r="X246" s="4"/>
      <c r="Y246" s="4"/>
      <c r="Z246" s="4"/>
      <c r="AA246" s="4"/>
      <c r="AB246" s="4"/>
    </row>
    <row r="247" spans="1:28" ht="12.6" customHeight="1">
      <c r="D247" s="186"/>
      <c r="E247" s="186"/>
      <c r="F247" s="186"/>
      <c r="G247" s="186"/>
      <c r="H247" s="186"/>
      <c r="I247" s="186"/>
      <c r="J247" s="186"/>
      <c r="K247" s="186"/>
      <c r="L247" s="186"/>
      <c r="M247" s="186"/>
      <c r="N247" s="186"/>
      <c r="O247" s="186"/>
      <c r="P247" s="186"/>
      <c r="Q247" s="186"/>
      <c r="R247" s="186"/>
      <c r="S247" s="186"/>
      <c r="T247" s="186"/>
      <c r="U247" s="186"/>
      <c r="V247" s="186"/>
      <c r="W247" s="186"/>
      <c r="X247" s="4"/>
      <c r="Y247" s="4"/>
      <c r="Z247" s="4"/>
      <c r="AA247" s="4"/>
      <c r="AB247" s="4"/>
    </row>
    <row r="248" spans="1:28" customFormat="1" ht="12.6" customHeight="1">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row>
    <row r="249" spans="1:28" customFormat="1" ht="12.6" customHeight="1">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row>
    <row r="250" spans="1:28" ht="12.6" customHeight="1">
      <c r="D250" s="186"/>
      <c r="E250" s="186"/>
      <c r="F250" s="186"/>
      <c r="G250" s="186"/>
      <c r="H250" s="186"/>
      <c r="I250" s="186"/>
      <c r="J250" s="186"/>
      <c r="K250" s="186"/>
      <c r="L250" s="186"/>
      <c r="M250" s="186"/>
      <c r="N250" s="186"/>
      <c r="O250" s="186"/>
      <c r="P250" s="186"/>
      <c r="Q250" s="186"/>
      <c r="R250" s="186"/>
      <c r="S250" s="186"/>
      <c r="T250" s="186"/>
      <c r="U250" s="186"/>
      <c r="V250" s="186"/>
      <c r="W250" s="186"/>
      <c r="X250" s="4"/>
      <c r="Y250" s="4"/>
      <c r="Z250" s="4"/>
      <c r="AA250" s="4"/>
      <c r="AB250" s="4"/>
    </row>
    <row r="251" spans="1:28" ht="12.6" customHeight="1">
      <c r="D251" s="186"/>
      <c r="E251" s="186"/>
      <c r="F251" s="186"/>
      <c r="G251" s="186"/>
      <c r="H251" s="186"/>
      <c r="I251" s="186"/>
      <c r="J251" s="186"/>
      <c r="K251" s="186"/>
      <c r="L251" s="186"/>
      <c r="M251" s="186"/>
      <c r="N251" s="186"/>
      <c r="O251" s="186"/>
      <c r="P251" s="186"/>
      <c r="Q251" s="186"/>
      <c r="R251" s="186"/>
      <c r="S251" s="186"/>
      <c r="T251" s="186"/>
      <c r="U251" s="186"/>
      <c r="V251" s="186"/>
      <c r="W251" s="186"/>
      <c r="X251" s="4"/>
      <c r="Y251" s="4"/>
      <c r="Z251" s="4"/>
      <c r="AA251" s="4"/>
      <c r="AB251" s="4"/>
    </row>
    <row r="252" spans="1:28" ht="12.6" customHeight="1">
      <c r="D252" s="186"/>
      <c r="E252" s="186"/>
      <c r="F252" s="186"/>
      <c r="G252" s="186"/>
      <c r="H252" s="186"/>
      <c r="I252" s="186"/>
      <c r="J252" s="186"/>
      <c r="K252" s="186"/>
      <c r="L252" s="186"/>
      <c r="M252" s="186"/>
      <c r="N252" s="186"/>
      <c r="O252" s="186"/>
      <c r="P252" s="186"/>
      <c r="Q252" s="186"/>
      <c r="R252" s="186"/>
      <c r="S252" s="186"/>
      <c r="T252" s="186"/>
      <c r="U252" s="186"/>
      <c r="V252" s="186"/>
      <c r="W252" s="186"/>
      <c r="X252" s="4"/>
      <c r="Y252" s="4"/>
      <c r="Z252" s="4"/>
      <c r="AA252" s="4"/>
      <c r="AB252" s="4"/>
    </row>
    <row r="253" spans="1:28" ht="12.6" customHeight="1">
      <c r="D253" s="186"/>
      <c r="E253" s="186"/>
      <c r="F253" s="186"/>
      <c r="G253" s="186"/>
      <c r="H253" s="186"/>
      <c r="I253" s="186"/>
      <c r="J253" s="186"/>
      <c r="K253" s="186"/>
      <c r="L253" s="186"/>
      <c r="M253" s="186"/>
      <c r="N253" s="186"/>
      <c r="O253" s="186"/>
      <c r="P253" s="186"/>
      <c r="Q253" s="186"/>
      <c r="R253" s="186"/>
      <c r="S253" s="186"/>
      <c r="T253" s="186"/>
      <c r="U253" s="186"/>
      <c r="V253" s="186"/>
      <c r="W253" s="186"/>
      <c r="X253" s="4"/>
      <c r="Y253" s="4"/>
      <c r="Z253" s="4"/>
      <c r="AA253" s="4"/>
      <c r="AB253" s="4"/>
    </row>
    <row r="254" spans="1:28" ht="12.6" customHeight="1">
      <c r="D254" s="186"/>
      <c r="E254" s="186"/>
      <c r="F254" s="186"/>
      <c r="G254" s="186"/>
      <c r="H254" s="186"/>
      <c r="I254" s="186"/>
      <c r="J254" s="186"/>
      <c r="K254" s="186"/>
      <c r="L254" s="186"/>
      <c r="M254" s="186"/>
      <c r="N254" s="186"/>
      <c r="O254" s="186"/>
      <c r="P254" s="186"/>
      <c r="Q254" s="186"/>
      <c r="R254" s="186"/>
      <c r="S254" s="186"/>
      <c r="T254" s="186"/>
      <c r="U254" s="186"/>
      <c r="V254" s="186"/>
      <c r="W254" s="186"/>
      <c r="X254" s="4"/>
      <c r="Y254" s="4"/>
      <c r="Z254" s="4"/>
      <c r="AA254" s="4"/>
      <c r="AB254" s="4"/>
    </row>
    <row r="255" spans="1:28" ht="12.6" customHeight="1">
      <c r="D255" s="186"/>
      <c r="E255" s="186"/>
      <c r="F255" s="186"/>
      <c r="G255" s="186"/>
      <c r="H255" s="186"/>
      <c r="I255" s="186"/>
      <c r="J255" s="186"/>
      <c r="K255" s="186"/>
      <c r="L255" s="186"/>
      <c r="M255" s="186"/>
      <c r="N255" s="186"/>
      <c r="O255" s="186"/>
      <c r="P255" s="186"/>
      <c r="Q255" s="186"/>
      <c r="R255" s="186"/>
      <c r="S255" s="186"/>
      <c r="T255" s="186"/>
      <c r="U255" s="186"/>
      <c r="V255" s="186"/>
      <c r="W255" s="186"/>
      <c r="X255" s="4"/>
      <c r="Y255" s="4"/>
      <c r="Z255" s="4"/>
      <c r="AA255" s="4"/>
      <c r="AB255" s="4"/>
    </row>
    <row r="256" spans="1:28" ht="12.6" customHeight="1">
      <c r="D256" s="186"/>
      <c r="E256" s="186"/>
      <c r="F256" s="186"/>
      <c r="G256" s="186"/>
      <c r="H256" s="186"/>
      <c r="I256" s="186"/>
      <c r="J256" s="186"/>
      <c r="K256" s="186"/>
      <c r="L256" s="186"/>
      <c r="M256" s="186"/>
      <c r="N256" s="186"/>
      <c r="O256" s="186"/>
      <c r="P256" s="186"/>
      <c r="Q256" s="186"/>
      <c r="R256" s="186"/>
      <c r="S256" s="186"/>
      <c r="T256" s="186"/>
      <c r="U256" s="186"/>
      <c r="V256" s="186"/>
      <c r="W256" s="186"/>
      <c r="X256" s="4"/>
      <c r="Y256" s="4"/>
      <c r="Z256" s="4"/>
      <c r="AA256" s="4"/>
      <c r="AB256" s="4"/>
    </row>
    <row r="257" spans="4:28" ht="12.6" customHeight="1">
      <c r="D257" s="186"/>
      <c r="E257" s="186"/>
      <c r="F257" s="186"/>
      <c r="G257" s="186"/>
      <c r="H257" s="186"/>
      <c r="I257" s="186"/>
      <c r="J257" s="186"/>
      <c r="K257" s="186"/>
      <c r="L257" s="186"/>
      <c r="M257" s="186"/>
      <c r="N257" s="186"/>
      <c r="O257" s="186"/>
      <c r="P257" s="186"/>
      <c r="Q257" s="186"/>
      <c r="R257" s="186"/>
      <c r="S257" s="186"/>
      <c r="T257" s="186"/>
      <c r="U257" s="186"/>
      <c r="V257" s="186"/>
      <c r="W257" s="186"/>
      <c r="X257" s="4"/>
      <c r="Y257" s="4"/>
      <c r="Z257" s="4"/>
      <c r="AA257" s="4"/>
      <c r="AB257" s="4"/>
    </row>
    <row r="258" spans="4:28" ht="12.6" customHeight="1">
      <c r="D258" s="186"/>
      <c r="E258" s="186"/>
      <c r="F258" s="186"/>
      <c r="G258" s="186"/>
      <c r="H258" s="186"/>
      <c r="I258" s="186"/>
      <c r="J258" s="186"/>
      <c r="K258" s="186"/>
      <c r="L258" s="186"/>
      <c r="M258" s="186"/>
      <c r="N258" s="186"/>
      <c r="O258" s="186"/>
      <c r="P258" s="186"/>
      <c r="Q258" s="186"/>
      <c r="R258" s="186"/>
      <c r="S258" s="186"/>
      <c r="T258" s="186"/>
      <c r="U258" s="186"/>
      <c r="V258" s="186"/>
      <c r="W258" s="186"/>
      <c r="X258" s="4"/>
      <c r="Y258" s="4"/>
      <c r="Z258" s="4"/>
      <c r="AA258" s="4"/>
      <c r="AB258" s="4"/>
    </row>
    <row r="259" spans="4:28" ht="12.6" customHeight="1">
      <c r="D259" s="186"/>
      <c r="E259" s="186"/>
      <c r="F259" s="186"/>
      <c r="G259" s="186"/>
      <c r="H259" s="186"/>
      <c r="I259" s="186"/>
      <c r="J259" s="186"/>
      <c r="K259" s="186"/>
      <c r="L259" s="186"/>
      <c r="M259" s="186"/>
      <c r="N259" s="186"/>
      <c r="O259" s="186"/>
      <c r="P259" s="186"/>
      <c r="Q259" s="186"/>
      <c r="R259" s="186"/>
      <c r="S259" s="186"/>
      <c r="T259" s="186"/>
      <c r="U259" s="186"/>
      <c r="V259" s="186"/>
      <c r="W259" s="186"/>
      <c r="X259" s="4"/>
      <c r="Y259" s="4"/>
      <c r="Z259" s="4"/>
      <c r="AA259" s="4"/>
      <c r="AB259" s="4"/>
    </row>
    <row r="260" spans="4:28" ht="12.6" customHeight="1">
      <c r="D260" s="186"/>
      <c r="E260" s="186"/>
      <c r="F260" s="186"/>
      <c r="G260" s="186"/>
      <c r="H260" s="186"/>
      <c r="I260" s="186"/>
      <c r="J260" s="186"/>
      <c r="K260" s="186"/>
      <c r="L260" s="186"/>
      <c r="M260" s="186"/>
      <c r="N260" s="186"/>
      <c r="O260" s="186"/>
      <c r="P260" s="186"/>
      <c r="Q260" s="186"/>
      <c r="R260" s="186"/>
      <c r="S260" s="186"/>
      <c r="T260" s="186"/>
      <c r="U260" s="186"/>
      <c r="V260" s="186"/>
      <c r="W260" s="186"/>
      <c r="X260" s="4"/>
      <c r="Y260" s="4"/>
      <c r="Z260" s="4"/>
      <c r="AA260" s="4"/>
      <c r="AB260" s="4"/>
    </row>
    <row r="261" spans="4:28" ht="12.6" customHeight="1">
      <c r="D261" s="186"/>
      <c r="E261" s="186"/>
      <c r="F261" s="186"/>
      <c r="G261" s="186"/>
      <c r="H261" s="186"/>
      <c r="I261" s="186"/>
      <c r="J261" s="186"/>
      <c r="K261" s="186"/>
      <c r="L261" s="186"/>
      <c r="M261" s="186"/>
      <c r="N261" s="186"/>
      <c r="O261" s="186"/>
      <c r="P261" s="186"/>
      <c r="Q261" s="186"/>
      <c r="R261" s="186"/>
      <c r="S261" s="186"/>
      <c r="T261" s="186"/>
      <c r="U261" s="186"/>
      <c r="V261" s="186"/>
      <c r="W261" s="186"/>
      <c r="X261" s="4"/>
      <c r="Y261" s="4"/>
      <c r="Z261" s="4"/>
      <c r="AA261" s="4"/>
      <c r="AB261" s="4"/>
    </row>
    <row r="262" spans="4:28" ht="12.6" customHeight="1">
      <c r="D262" s="186"/>
      <c r="E262" s="186"/>
      <c r="F262" s="186"/>
      <c r="G262" s="186"/>
      <c r="H262" s="186"/>
      <c r="I262" s="186"/>
      <c r="J262" s="186"/>
      <c r="K262" s="186"/>
      <c r="L262" s="186"/>
      <c r="M262" s="186"/>
      <c r="N262" s="186"/>
      <c r="O262" s="186"/>
      <c r="P262" s="186"/>
      <c r="Q262" s="186"/>
      <c r="R262" s="186"/>
      <c r="S262" s="186"/>
      <c r="T262" s="186"/>
      <c r="U262" s="186"/>
      <c r="V262" s="186"/>
      <c r="W262" s="186"/>
      <c r="X262" s="4"/>
      <c r="Y262" s="4"/>
      <c r="Z262" s="4"/>
      <c r="AA262" s="4"/>
      <c r="AB262" s="4"/>
    </row>
    <row r="263" spans="4:28" ht="12.6" customHeight="1">
      <c r="D263" s="186"/>
      <c r="E263" s="186"/>
      <c r="F263" s="186"/>
      <c r="G263" s="186"/>
      <c r="H263" s="186"/>
      <c r="I263" s="186"/>
      <c r="J263" s="186"/>
      <c r="K263" s="186"/>
      <c r="L263" s="186"/>
      <c r="M263" s="186"/>
      <c r="N263" s="186"/>
      <c r="O263" s="186"/>
      <c r="P263" s="186"/>
      <c r="Q263" s="186"/>
      <c r="R263" s="186"/>
      <c r="S263" s="186"/>
      <c r="T263" s="186"/>
      <c r="U263" s="186"/>
      <c r="V263" s="186"/>
      <c r="W263" s="186"/>
      <c r="X263" s="4"/>
      <c r="Y263" s="4"/>
      <c r="Z263" s="4"/>
      <c r="AA263" s="4"/>
      <c r="AB263" s="4"/>
    </row>
    <row r="264" spans="4:28" ht="12.6" customHeight="1">
      <c r="D264" s="186"/>
      <c r="E264" s="186"/>
      <c r="F264" s="186"/>
      <c r="G264" s="186"/>
      <c r="H264" s="186"/>
      <c r="I264" s="186"/>
      <c r="J264" s="186"/>
      <c r="K264" s="186"/>
      <c r="L264" s="186"/>
      <c r="M264" s="186"/>
      <c r="N264" s="186"/>
      <c r="O264" s="186"/>
      <c r="P264" s="186"/>
      <c r="Q264" s="186"/>
      <c r="R264" s="186"/>
      <c r="S264" s="186"/>
      <c r="T264" s="186"/>
      <c r="U264" s="186"/>
      <c r="V264" s="186"/>
      <c r="W264" s="186"/>
      <c r="X264" s="4"/>
      <c r="Y264" s="4"/>
      <c r="Z264" s="4"/>
      <c r="AA264" s="4"/>
      <c r="AB264" s="4"/>
    </row>
    <row r="265" spans="4:28" ht="12.6" customHeight="1">
      <c r="D265" s="186"/>
      <c r="E265" s="186"/>
      <c r="F265" s="186"/>
      <c r="G265" s="186"/>
      <c r="H265" s="186"/>
      <c r="I265" s="186"/>
      <c r="J265" s="186"/>
      <c r="K265" s="186"/>
      <c r="L265" s="186"/>
      <c r="M265" s="186"/>
      <c r="N265" s="186"/>
      <c r="O265" s="186"/>
      <c r="P265" s="186"/>
      <c r="Q265" s="186"/>
      <c r="R265" s="186"/>
      <c r="S265" s="186"/>
      <c r="T265" s="186"/>
      <c r="U265" s="186"/>
      <c r="V265" s="186"/>
      <c r="W265" s="186"/>
      <c r="X265" s="4"/>
      <c r="Y265" s="4"/>
      <c r="Z265" s="4"/>
      <c r="AA265" s="4"/>
      <c r="AB265" s="4"/>
    </row>
    <row r="266" spans="4:28" ht="12.6" customHeight="1">
      <c r="D266" s="186"/>
      <c r="E266" s="186"/>
      <c r="F266" s="186"/>
      <c r="G266" s="186"/>
      <c r="H266" s="186"/>
      <c r="I266" s="186"/>
      <c r="J266" s="186"/>
      <c r="K266" s="186"/>
      <c r="L266" s="186"/>
      <c r="M266" s="186"/>
      <c r="N266" s="186"/>
      <c r="O266" s="186"/>
      <c r="P266" s="186"/>
      <c r="Q266" s="186"/>
      <c r="R266" s="186"/>
      <c r="S266" s="186"/>
      <c r="T266" s="186"/>
      <c r="U266" s="186"/>
      <c r="V266" s="186"/>
      <c r="W266" s="186"/>
      <c r="X266" s="4"/>
      <c r="Y266" s="4"/>
      <c r="Z266" s="4"/>
      <c r="AA266" s="4"/>
      <c r="AB266" s="4"/>
    </row>
    <row r="267" spans="4:28" ht="12.6" customHeight="1">
      <c r="D267" s="186"/>
      <c r="E267" s="186"/>
      <c r="F267" s="186"/>
      <c r="G267" s="186"/>
      <c r="H267" s="186"/>
      <c r="I267" s="186"/>
      <c r="J267" s="186"/>
      <c r="K267" s="186"/>
      <c r="L267" s="186"/>
      <c r="M267" s="186"/>
      <c r="N267" s="186"/>
      <c r="O267" s="186"/>
      <c r="P267" s="186"/>
      <c r="Q267" s="186"/>
      <c r="R267" s="186"/>
      <c r="S267" s="186"/>
      <c r="T267" s="186"/>
      <c r="U267" s="186"/>
      <c r="V267" s="186"/>
      <c r="W267" s="186"/>
      <c r="X267" s="4"/>
      <c r="Y267" s="4"/>
      <c r="Z267" s="4"/>
      <c r="AA267" s="4"/>
      <c r="AB267" s="4"/>
    </row>
    <row r="268" spans="4:28" ht="12.6" customHeight="1">
      <c r="D268" s="186"/>
      <c r="E268" s="186"/>
      <c r="F268" s="186"/>
      <c r="G268" s="186"/>
      <c r="H268" s="186"/>
      <c r="I268" s="186"/>
      <c r="J268" s="186"/>
      <c r="K268" s="186"/>
      <c r="L268" s="186"/>
      <c r="M268" s="186"/>
      <c r="N268" s="186"/>
      <c r="O268" s="186"/>
      <c r="P268" s="186"/>
      <c r="Q268" s="186"/>
      <c r="R268" s="186"/>
      <c r="S268" s="186"/>
      <c r="T268" s="186"/>
      <c r="U268" s="186"/>
      <c r="V268" s="186"/>
      <c r="W268" s="186"/>
      <c r="X268" s="4"/>
      <c r="Y268" s="4"/>
      <c r="Z268" s="4"/>
      <c r="AA268" s="4"/>
      <c r="AB268" s="4"/>
    </row>
    <row r="269" spans="4:28" ht="12.6" customHeight="1">
      <c r="D269" s="186"/>
      <c r="E269" s="186"/>
      <c r="F269" s="186"/>
      <c r="G269" s="186"/>
      <c r="H269" s="186"/>
      <c r="I269" s="186"/>
      <c r="J269" s="186"/>
      <c r="K269" s="186"/>
      <c r="L269" s="186"/>
      <c r="M269" s="186"/>
      <c r="N269" s="186"/>
      <c r="O269" s="186"/>
      <c r="P269" s="186"/>
      <c r="Q269" s="186"/>
      <c r="R269" s="186"/>
      <c r="S269" s="186"/>
      <c r="T269" s="186"/>
      <c r="U269" s="186"/>
      <c r="V269" s="186"/>
      <c r="W269" s="186"/>
      <c r="X269" s="4"/>
      <c r="Y269" s="4"/>
      <c r="Z269" s="4"/>
      <c r="AA269" s="4"/>
      <c r="AB269" s="4"/>
    </row>
    <row r="270" spans="4:28" ht="12.6" customHeight="1">
      <c r="D270" s="186"/>
      <c r="E270" s="186"/>
      <c r="F270" s="186"/>
      <c r="G270" s="186"/>
      <c r="H270" s="186"/>
      <c r="I270" s="186"/>
      <c r="J270" s="186"/>
      <c r="K270" s="186"/>
      <c r="L270" s="186"/>
      <c r="M270" s="186"/>
      <c r="N270" s="186"/>
      <c r="O270" s="186"/>
      <c r="P270" s="186"/>
      <c r="Q270" s="186"/>
      <c r="R270" s="186"/>
      <c r="S270" s="186"/>
      <c r="T270" s="186"/>
      <c r="U270" s="186"/>
      <c r="V270" s="186"/>
      <c r="W270" s="186"/>
      <c r="X270" s="4"/>
      <c r="Y270" s="4"/>
      <c r="Z270" s="4"/>
      <c r="AA270" s="4"/>
      <c r="AB270" s="4"/>
    </row>
    <row r="271" spans="4:28" ht="12.6" customHeight="1">
      <c r="D271" s="186"/>
      <c r="E271" s="186"/>
      <c r="F271" s="186"/>
      <c r="G271" s="186"/>
      <c r="H271" s="186"/>
      <c r="I271" s="186"/>
      <c r="J271" s="186"/>
      <c r="K271" s="186"/>
      <c r="L271" s="186"/>
      <c r="M271" s="186"/>
      <c r="N271" s="186"/>
      <c r="O271" s="186"/>
      <c r="P271" s="186"/>
      <c r="Q271" s="186"/>
      <c r="R271" s="186"/>
      <c r="S271" s="186"/>
      <c r="T271" s="186"/>
      <c r="U271" s="186"/>
      <c r="V271" s="186"/>
      <c r="W271" s="186"/>
      <c r="X271" s="4"/>
      <c r="Y271" s="4"/>
      <c r="Z271" s="4"/>
      <c r="AA271" s="4"/>
      <c r="AB271" s="4"/>
    </row>
    <row r="272" spans="4:28" ht="12.6" customHeight="1">
      <c r="D272" s="186"/>
      <c r="E272" s="186"/>
      <c r="F272" s="186"/>
      <c r="G272" s="186"/>
      <c r="H272" s="186"/>
      <c r="I272" s="186"/>
      <c r="J272" s="186"/>
      <c r="K272" s="186"/>
      <c r="L272" s="186"/>
      <c r="M272" s="186"/>
      <c r="N272" s="186"/>
      <c r="O272" s="186"/>
      <c r="P272" s="186"/>
      <c r="Q272" s="186"/>
      <c r="R272" s="186"/>
      <c r="S272" s="186"/>
      <c r="T272" s="186"/>
      <c r="U272" s="186"/>
      <c r="V272" s="186"/>
      <c r="W272" s="186"/>
      <c r="X272" s="4"/>
      <c r="Y272" s="4"/>
      <c r="Z272" s="4"/>
      <c r="AA272" s="4"/>
      <c r="AB272" s="4"/>
    </row>
    <row r="273" spans="4:28" ht="12.6" customHeight="1">
      <c r="D273" s="186"/>
      <c r="E273" s="186"/>
      <c r="F273" s="186"/>
      <c r="G273" s="186"/>
      <c r="H273" s="186"/>
      <c r="I273" s="186"/>
      <c r="J273" s="186"/>
      <c r="K273" s="186"/>
      <c r="L273" s="186"/>
      <c r="M273" s="186"/>
      <c r="N273" s="186"/>
      <c r="O273" s="186"/>
      <c r="P273" s="186"/>
      <c r="Q273" s="186"/>
      <c r="R273" s="186"/>
      <c r="S273" s="186"/>
      <c r="T273" s="186"/>
      <c r="U273" s="186"/>
      <c r="V273" s="186"/>
      <c r="W273" s="186"/>
      <c r="X273" s="4"/>
      <c r="Y273" s="4"/>
      <c r="Z273" s="4"/>
      <c r="AA273" s="4"/>
      <c r="AB273" s="4"/>
    </row>
    <row r="274" spans="4:28" ht="12.6" customHeight="1">
      <c r="D274" s="186"/>
      <c r="E274" s="186"/>
      <c r="F274" s="186"/>
      <c r="G274" s="186"/>
      <c r="H274" s="186"/>
      <c r="I274" s="186"/>
      <c r="J274" s="186"/>
      <c r="K274" s="186"/>
      <c r="L274" s="186"/>
      <c r="M274" s="186"/>
      <c r="N274" s="186"/>
      <c r="O274" s="186"/>
      <c r="P274" s="186"/>
      <c r="Q274" s="186"/>
      <c r="R274" s="186"/>
      <c r="S274" s="186"/>
      <c r="T274" s="186"/>
      <c r="U274" s="186"/>
      <c r="V274" s="186"/>
      <c r="W274" s="186"/>
      <c r="X274" s="4"/>
      <c r="Y274" s="4"/>
      <c r="Z274" s="4"/>
      <c r="AA274" s="4"/>
      <c r="AB274" s="4"/>
    </row>
    <row r="275" spans="4:28" ht="12.6" customHeight="1">
      <c r="D275" s="186"/>
      <c r="E275" s="186"/>
      <c r="F275" s="186"/>
      <c r="G275" s="186"/>
      <c r="H275" s="186"/>
      <c r="I275" s="186"/>
      <c r="J275" s="186"/>
      <c r="K275" s="186"/>
      <c r="L275" s="186"/>
      <c r="M275" s="186"/>
      <c r="N275" s="186"/>
      <c r="O275" s="186"/>
      <c r="P275" s="186"/>
      <c r="Q275" s="186"/>
      <c r="R275" s="186"/>
      <c r="S275" s="186"/>
      <c r="T275" s="186"/>
      <c r="U275" s="186"/>
      <c r="V275" s="186"/>
      <c r="W275" s="186"/>
      <c r="X275" s="4"/>
      <c r="Y275" s="4"/>
      <c r="Z275" s="4"/>
      <c r="AA275" s="4"/>
      <c r="AB275" s="4"/>
    </row>
    <row r="276" spans="4:28" ht="12.6" customHeight="1">
      <c r="D276" s="186"/>
      <c r="E276" s="186"/>
      <c r="F276" s="186"/>
      <c r="G276" s="186"/>
      <c r="H276" s="186"/>
      <c r="I276" s="186"/>
      <c r="J276" s="186"/>
      <c r="K276" s="186"/>
      <c r="L276" s="186"/>
      <c r="M276" s="186"/>
      <c r="N276" s="186"/>
      <c r="O276" s="186"/>
      <c r="P276" s="186"/>
      <c r="Q276" s="186"/>
      <c r="R276" s="186"/>
      <c r="S276" s="186"/>
      <c r="T276" s="186"/>
      <c r="U276" s="186"/>
      <c r="V276" s="186"/>
      <c r="W276" s="186"/>
      <c r="X276" s="4"/>
      <c r="Y276" s="4"/>
      <c r="Z276" s="4"/>
      <c r="AA276" s="4"/>
      <c r="AB276" s="4"/>
    </row>
    <row r="277" spans="4:28" ht="12.6" customHeight="1">
      <c r="D277" s="186"/>
      <c r="E277" s="186"/>
      <c r="F277" s="186"/>
      <c r="G277" s="186"/>
      <c r="H277" s="186"/>
      <c r="I277" s="186"/>
      <c r="J277" s="186"/>
      <c r="K277" s="186"/>
      <c r="L277" s="186"/>
      <c r="M277" s="186"/>
      <c r="N277" s="186"/>
      <c r="O277" s="186"/>
      <c r="P277" s="186"/>
      <c r="Q277" s="186"/>
      <c r="R277" s="186"/>
      <c r="S277" s="186"/>
      <c r="T277" s="186"/>
      <c r="U277" s="186"/>
      <c r="V277" s="186"/>
      <c r="W277" s="186"/>
      <c r="X277" s="4"/>
      <c r="Y277" s="4"/>
      <c r="Z277" s="4"/>
      <c r="AA277" s="4"/>
      <c r="AB277" s="4"/>
    </row>
    <row r="278" spans="4:28" ht="12.6" customHeight="1">
      <c r="D278" s="186"/>
      <c r="E278" s="186"/>
      <c r="F278" s="186"/>
      <c r="G278" s="186"/>
      <c r="H278" s="186"/>
      <c r="I278" s="186"/>
      <c r="J278" s="186"/>
      <c r="K278" s="186"/>
      <c r="L278" s="186"/>
      <c r="M278" s="186"/>
      <c r="N278" s="186"/>
      <c r="O278" s="186"/>
      <c r="P278" s="186"/>
      <c r="Q278" s="186"/>
      <c r="R278" s="186"/>
      <c r="S278" s="186"/>
      <c r="T278" s="186"/>
      <c r="U278" s="186"/>
      <c r="V278" s="186"/>
      <c r="W278" s="186"/>
      <c r="X278" s="4"/>
      <c r="Y278" s="4"/>
      <c r="Z278" s="4"/>
      <c r="AA278" s="4"/>
      <c r="AB278" s="4"/>
    </row>
    <row r="279" spans="4:28" ht="12.6" customHeight="1">
      <c r="D279" s="186"/>
      <c r="E279" s="186"/>
      <c r="F279" s="186"/>
      <c r="G279" s="186"/>
      <c r="H279" s="186"/>
      <c r="I279" s="186"/>
      <c r="J279" s="186"/>
      <c r="K279" s="186"/>
      <c r="L279" s="186"/>
      <c r="M279" s="186"/>
      <c r="N279" s="186"/>
      <c r="O279" s="186"/>
      <c r="P279" s="186"/>
      <c r="Q279" s="186"/>
      <c r="R279" s="186"/>
      <c r="S279" s="186"/>
      <c r="T279" s="186"/>
      <c r="U279" s="186"/>
      <c r="V279" s="186"/>
      <c r="W279" s="186"/>
      <c r="X279" s="4"/>
      <c r="Y279" s="4"/>
      <c r="Z279" s="4"/>
      <c r="AA279" s="4"/>
      <c r="AB279" s="4"/>
    </row>
    <row r="280" spans="4:28" ht="12.6" customHeight="1">
      <c r="D280" s="186"/>
      <c r="E280" s="186"/>
      <c r="F280" s="186"/>
      <c r="G280" s="186"/>
      <c r="H280" s="186"/>
      <c r="I280" s="186"/>
      <c r="J280" s="186"/>
      <c r="K280" s="186"/>
      <c r="L280" s="186"/>
      <c r="M280" s="186"/>
      <c r="N280" s="186"/>
      <c r="O280" s="186"/>
      <c r="P280" s="186"/>
      <c r="Q280" s="186"/>
      <c r="R280" s="186"/>
      <c r="S280" s="186"/>
      <c r="T280" s="186"/>
      <c r="U280" s="186"/>
      <c r="V280" s="186"/>
      <c r="W280" s="186"/>
      <c r="X280" s="4"/>
      <c r="Y280" s="4"/>
      <c r="Z280" s="4"/>
      <c r="AA280" s="4"/>
      <c r="AB280" s="4"/>
    </row>
    <row r="281" spans="4:28" ht="12.6" customHeight="1">
      <c r="D281" s="186"/>
      <c r="E281" s="186"/>
      <c r="F281" s="186"/>
      <c r="G281" s="186"/>
      <c r="H281" s="186"/>
      <c r="I281" s="186"/>
      <c r="J281" s="186"/>
      <c r="K281" s="186"/>
      <c r="L281" s="186"/>
      <c r="M281" s="186"/>
      <c r="N281" s="186"/>
      <c r="O281" s="186"/>
      <c r="P281" s="186"/>
      <c r="Q281" s="186"/>
      <c r="R281" s="186"/>
      <c r="S281" s="186"/>
      <c r="T281" s="186"/>
      <c r="U281" s="186"/>
      <c r="V281" s="186"/>
      <c r="W281" s="186"/>
      <c r="X281" s="4"/>
      <c r="Y281" s="4"/>
      <c r="Z281" s="4"/>
      <c r="AA281" s="4"/>
      <c r="AB281" s="4"/>
    </row>
    <row r="282" spans="4:28" ht="12.6" customHeight="1">
      <c r="D282" s="186"/>
      <c r="E282" s="186"/>
      <c r="F282" s="186"/>
      <c r="G282" s="186"/>
      <c r="H282" s="186"/>
      <c r="I282" s="186"/>
      <c r="J282" s="186"/>
      <c r="K282" s="186"/>
      <c r="L282" s="186"/>
      <c r="M282" s="186"/>
      <c r="N282" s="186"/>
      <c r="O282" s="186"/>
      <c r="P282" s="186"/>
      <c r="Q282" s="186"/>
      <c r="R282" s="186"/>
      <c r="S282" s="186"/>
      <c r="T282" s="186"/>
      <c r="U282" s="186"/>
      <c r="V282" s="186"/>
      <c r="W282" s="186"/>
      <c r="X282" s="4"/>
      <c r="Y282" s="4"/>
      <c r="Z282" s="4"/>
      <c r="AA282" s="4"/>
      <c r="AB282" s="4"/>
    </row>
    <row r="283" spans="4:28" ht="12.6" customHeight="1">
      <c r="D283" s="186"/>
      <c r="E283" s="186"/>
      <c r="F283" s="186"/>
      <c r="G283" s="186"/>
      <c r="H283" s="186"/>
      <c r="I283" s="186"/>
      <c r="J283" s="186"/>
      <c r="K283" s="186"/>
      <c r="L283" s="186"/>
      <c r="M283" s="186"/>
      <c r="N283" s="186"/>
      <c r="O283" s="186"/>
      <c r="P283" s="186"/>
      <c r="Q283" s="186"/>
      <c r="R283" s="186"/>
      <c r="S283" s="186"/>
      <c r="T283" s="186"/>
      <c r="U283" s="186"/>
      <c r="V283" s="186"/>
      <c r="W283" s="186"/>
      <c r="X283" s="4"/>
      <c r="Y283" s="4"/>
      <c r="Z283" s="4"/>
      <c r="AA283" s="4"/>
      <c r="AB283" s="4"/>
    </row>
    <row r="284" spans="4:28" ht="12.6" customHeight="1">
      <c r="D284" s="186"/>
      <c r="E284" s="186"/>
      <c r="F284" s="186"/>
      <c r="G284" s="186"/>
      <c r="H284" s="186"/>
      <c r="I284" s="186"/>
      <c r="J284" s="186"/>
      <c r="K284" s="186"/>
      <c r="L284" s="186"/>
      <c r="M284" s="186"/>
      <c r="N284" s="186"/>
      <c r="O284" s="186"/>
      <c r="P284" s="186"/>
      <c r="Q284" s="186"/>
      <c r="R284" s="186"/>
      <c r="S284" s="186"/>
      <c r="T284" s="186"/>
      <c r="U284" s="186"/>
      <c r="V284" s="186"/>
      <c r="W284" s="186"/>
      <c r="X284" s="4"/>
      <c r="Y284" s="4"/>
      <c r="Z284" s="4"/>
      <c r="AA284" s="4"/>
      <c r="AB284" s="4"/>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5" right="0.5" top="0.5" bottom="0.5" header="0.5" footer="0.25"/>
  <pageSetup scale="48" orientation="landscape" verticalDpi="300" r:id="rId3"/>
  <headerFooter alignWithMargins="0">
    <oddFooter>&amp;L&amp;D &amp;T&amp;R&amp;F
&amp;A &amp;P</oddFooter>
  </headerFooter>
  <colBreaks count="1" manualBreakCount="1">
    <brk id="23" max="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workbookViewId="0"/>
  </sheetViews>
  <sheetFormatPr defaultRowHeight="12.75"/>
  <cols>
    <col min="1" max="1" width="32" style="163" customWidth="1"/>
    <col min="2" max="2" width="11.42578125" style="163" customWidth="1"/>
    <col min="3" max="27" width="10.28515625" style="163" bestFit="1" customWidth="1"/>
    <col min="28" max="28" width="9.140625" style="163"/>
  </cols>
  <sheetData>
    <row r="1" spans="1:52" ht="20.25">
      <c r="A1" s="634" t="str">
        <f>'Project Assumptions'!$A$2</f>
        <v>CALEDONIA, Lowndes County, MS</v>
      </c>
      <c r="B1" s="635"/>
      <c r="C1" s="636"/>
    </row>
    <row r="2" spans="1:52">
      <c r="A2" s="637" t="s">
        <v>152</v>
      </c>
      <c r="B2" s="638"/>
      <c r="C2" s="639"/>
    </row>
    <row r="3" spans="1:52" s="1" customFormat="1" ht="12.6" customHeight="1">
      <c r="A3" s="417"/>
      <c r="B3" s="163"/>
      <c r="C3" s="184">
        <f>'Book Income Statement'!D3</f>
        <v>1</v>
      </c>
      <c r="D3" s="184">
        <f>'Book Income Statement'!E3</f>
        <v>2</v>
      </c>
      <c r="E3" s="184">
        <f>'Book Income Statement'!F3</f>
        <v>3</v>
      </c>
      <c r="F3" s="184">
        <f>'Book Income Statement'!G3</f>
        <v>4</v>
      </c>
      <c r="G3" s="184">
        <f>'Book Income Statement'!H3</f>
        <v>5</v>
      </c>
      <c r="H3" s="184">
        <f>'Book Income Statement'!I3</f>
        <v>6</v>
      </c>
      <c r="I3" s="188">
        <f>'Book Income Statement'!J3</f>
        <v>7</v>
      </c>
      <c r="J3" s="184">
        <f>'Book Income Statement'!K3</f>
        <v>8</v>
      </c>
      <c r="K3" s="184">
        <f>'Book Income Statement'!L3</f>
        <v>9</v>
      </c>
      <c r="L3" s="184">
        <f>'Book Income Statement'!M3</f>
        <v>10</v>
      </c>
      <c r="M3" s="184">
        <f>'Book Income Statement'!N3</f>
        <v>11</v>
      </c>
      <c r="N3" s="184">
        <f>'Book Income Statement'!O3</f>
        <v>12</v>
      </c>
      <c r="O3" s="188">
        <f>'Book Income Statement'!P3</f>
        <v>13</v>
      </c>
      <c r="P3" s="184">
        <f>'Book Income Statement'!Q3</f>
        <v>14</v>
      </c>
      <c r="Q3" s="184">
        <f>'Book Income Statement'!R3</f>
        <v>15</v>
      </c>
      <c r="R3" s="184">
        <f>'Book Income Statement'!S3</f>
        <v>16</v>
      </c>
      <c r="S3" s="184">
        <f>'Book Income Statement'!T3</f>
        <v>17</v>
      </c>
      <c r="T3" s="184">
        <f>'Book Income Statement'!U3</f>
        <v>18</v>
      </c>
      <c r="U3" s="188">
        <f>'Book Income Statement'!V3</f>
        <v>19</v>
      </c>
      <c r="V3" s="184">
        <f>'Book Income Statement'!W3</f>
        <v>20</v>
      </c>
      <c r="W3" s="184">
        <f>'Book Income Statement'!X3</f>
        <v>21</v>
      </c>
      <c r="X3" s="184">
        <f>'Book Income Statement'!Y3</f>
        <v>0</v>
      </c>
      <c r="Y3" s="184">
        <f>'Book Income Statement'!Z3</f>
        <v>0</v>
      </c>
      <c r="Z3" s="184">
        <f>'Book Income Statement'!AA3</f>
        <v>0</v>
      </c>
      <c r="AA3" s="188">
        <f>'Book Income Statement'!AB3</f>
        <v>0</v>
      </c>
      <c r="AB3" s="184"/>
      <c r="AC3" s="9"/>
      <c r="AD3"/>
    </row>
    <row r="4" spans="1:52" s="1" customFormat="1" ht="12.6" customHeight="1">
      <c r="A4" s="830"/>
      <c r="B4" s="642"/>
      <c r="C4" s="759">
        <f>'Book Income Statement'!D4</f>
        <v>1999</v>
      </c>
      <c r="D4" s="759">
        <f>'Book Income Statement'!E4</f>
        <v>2000</v>
      </c>
      <c r="E4" s="759">
        <f>'Book Income Statement'!F4</f>
        <v>2001</v>
      </c>
      <c r="F4" s="759">
        <f>'Book Income Statement'!G4</f>
        <v>2002</v>
      </c>
      <c r="G4" s="759">
        <f>'Book Income Statement'!H4</f>
        <v>2003</v>
      </c>
      <c r="H4" s="759">
        <f>'Book Income Statement'!I4</f>
        <v>2004</v>
      </c>
      <c r="I4" s="759">
        <f>'Book Income Statement'!J4</f>
        <v>2005</v>
      </c>
      <c r="J4" s="759">
        <f>'Book Income Statement'!K4</f>
        <v>2006</v>
      </c>
      <c r="K4" s="759">
        <f>'Book Income Statement'!L4</f>
        <v>2007</v>
      </c>
      <c r="L4" s="759">
        <f>'Book Income Statement'!M4</f>
        <v>2008</v>
      </c>
      <c r="M4" s="759">
        <f>'Book Income Statement'!N4</f>
        <v>2009</v>
      </c>
      <c r="N4" s="759">
        <f>'Book Income Statement'!O4</f>
        <v>2010</v>
      </c>
      <c r="O4" s="759">
        <f>'Book Income Statement'!P4</f>
        <v>2011</v>
      </c>
      <c r="P4" s="759">
        <f>'Book Income Statement'!Q4</f>
        <v>2012</v>
      </c>
      <c r="Q4" s="759">
        <f>'Book Income Statement'!R4</f>
        <v>2013</v>
      </c>
      <c r="R4" s="759">
        <f>'Book Income Statement'!S4</f>
        <v>2014</v>
      </c>
      <c r="S4" s="759">
        <f>'Book Income Statement'!T4</f>
        <v>2015</v>
      </c>
      <c r="T4" s="759">
        <f>'Book Income Statement'!U4</f>
        <v>2016</v>
      </c>
      <c r="U4" s="759">
        <f>'Book Income Statement'!V4</f>
        <v>2017</v>
      </c>
      <c r="V4" s="759">
        <f>'Book Income Statement'!W4</f>
        <v>2018</v>
      </c>
      <c r="W4" s="759">
        <f>'Book Income Statement'!X4</f>
        <v>2019</v>
      </c>
      <c r="X4" s="759">
        <f>'Book Income Statement'!Y4</f>
        <v>0</v>
      </c>
      <c r="Y4" s="759">
        <f>'Book Income Statement'!Z4</f>
        <v>0</v>
      </c>
      <c r="Z4" s="759">
        <f>'Book Income Statement'!AA4</f>
        <v>0</v>
      </c>
      <c r="AA4" s="760">
        <f>'Book Income Statement'!AB4</f>
        <v>0</v>
      </c>
      <c r="AB4" s="189"/>
      <c r="AC4" s="39"/>
      <c r="AD4"/>
      <c r="AE4" s="39"/>
      <c r="AF4" s="39"/>
      <c r="AG4" s="39"/>
      <c r="AH4" s="39"/>
      <c r="AI4" s="39"/>
      <c r="AJ4" s="39"/>
      <c r="AK4" s="39"/>
      <c r="AL4" s="39"/>
      <c r="AM4" s="39"/>
      <c r="AN4" s="39"/>
      <c r="AO4" s="39"/>
      <c r="AP4" s="39"/>
      <c r="AQ4" s="39"/>
      <c r="AR4" s="39"/>
      <c r="AS4" s="39"/>
      <c r="AT4" s="39"/>
      <c r="AU4" s="39"/>
      <c r="AV4" s="39"/>
      <c r="AW4" s="39"/>
      <c r="AX4" s="39"/>
      <c r="AY4" s="39"/>
      <c r="AZ4" s="39"/>
    </row>
    <row r="5" spans="1:52" s="101" customFormat="1" ht="15.75">
      <c r="A5" s="781" t="s">
        <v>162</v>
      </c>
      <c r="B5" s="179"/>
      <c r="C5" s="179"/>
      <c r="D5" s="179"/>
      <c r="E5" s="179"/>
      <c r="F5" s="179"/>
      <c r="G5" s="179"/>
      <c r="H5" s="179"/>
      <c r="I5" s="179"/>
      <c r="J5" s="179"/>
      <c r="K5" s="179"/>
      <c r="L5" s="179"/>
      <c r="M5" s="179"/>
      <c r="N5" s="179"/>
      <c r="O5" s="179"/>
      <c r="P5" s="179"/>
      <c r="Q5" s="179"/>
      <c r="R5" s="179"/>
      <c r="S5" s="179"/>
      <c r="T5" s="179"/>
      <c r="U5" s="179"/>
      <c r="V5" s="179"/>
      <c r="W5" s="179"/>
      <c r="X5" s="179"/>
      <c r="Y5" s="179"/>
      <c r="Z5" s="179"/>
      <c r="AA5" s="782"/>
      <c r="AB5" s="179"/>
    </row>
    <row r="6" spans="1:52" s="14" customFormat="1" ht="12.6" customHeight="1">
      <c r="A6" s="803" t="s">
        <v>37</v>
      </c>
      <c r="B6" s="891">
        <f>'Project Assumptions'!I17</f>
        <v>36373</v>
      </c>
      <c r="C6" s="891">
        <f>DATE(YEAR(B6),12,31)</f>
        <v>36525</v>
      </c>
      <c r="D6" s="891">
        <f t="shared" ref="D6:AA6" si="0">EDATE(C6,12)</f>
        <v>36891</v>
      </c>
      <c r="E6" s="891">
        <f t="shared" si="0"/>
        <v>37256</v>
      </c>
      <c r="F6" s="891">
        <f t="shared" si="0"/>
        <v>37621</v>
      </c>
      <c r="G6" s="891">
        <f t="shared" si="0"/>
        <v>37986</v>
      </c>
      <c r="H6" s="891">
        <f t="shared" si="0"/>
        <v>38352</v>
      </c>
      <c r="I6" s="891">
        <f t="shared" si="0"/>
        <v>38717</v>
      </c>
      <c r="J6" s="891">
        <f t="shared" si="0"/>
        <v>39082</v>
      </c>
      <c r="K6" s="891">
        <f t="shared" si="0"/>
        <v>39447</v>
      </c>
      <c r="L6" s="891">
        <f t="shared" si="0"/>
        <v>39813</v>
      </c>
      <c r="M6" s="891">
        <f t="shared" si="0"/>
        <v>40178</v>
      </c>
      <c r="N6" s="891">
        <f t="shared" si="0"/>
        <v>40543</v>
      </c>
      <c r="O6" s="891">
        <f t="shared" si="0"/>
        <v>40908</v>
      </c>
      <c r="P6" s="891">
        <f t="shared" si="0"/>
        <v>41274</v>
      </c>
      <c r="Q6" s="891">
        <f t="shared" si="0"/>
        <v>41639</v>
      </c>
      <c r="R6" s="891">
        <f t="shared" si="0"/>
        <v>42004</v>
      </c>
      <c r="S6" s="891">
        <f t="shared" si="0"/>
        <v>42369</v>
      </c>
      <c r="T6" s="891">
        <f t="shared" si="0"/>
        <v>42735</v>
      </c>
      <c r="U6" s="891">
        <f t="shared" si="0"/>
        <v>43100</v>
      </c>
      <c r="V6" s="891">
        <f t="shared" si="0"/>
        <v>43465</v>
      </c>
      <c r="W6" s="891">
        <f t="shared" si="0"/>
        <v>43830</v>
      </c>
      <c r="X6" s="891">
        <f t="shared" si="0"/>
        <v>44196</v>
      </c>
      <c r="Y6" s="891">
        <f t="shared" si="0"/>
        <v>44561</v>
      </c>
      <c r="Z6" s="891">
        <f t="shared" si="0"/>
        <v>44926</v>
      </c>
      <c r="AA6" s="892">
        <f t="shared" si="0"/>
        <v>45291</v>
      </c>
      <c r="AB6" s="179"/>
      <c r="AC6" s="21"/>
    </row>
    <row r="7" spans="1:52" s="14" customFormat="1" ht="12.6" customHeight="1">
      <c r="A7" s="795" t="s">
        <v>164</v>
      </c>
      <c r="B7" s="447">
        <f>'Project Assumptions'!C8*-1</f>
        <v>-37076.97100000002</v>
      </c>
      <c r="C7" s="447">
        <f>'Cash Flow Statement'!D20</f>
        <v>-5718.3348220110347</v>
      </c>
      <c r="D7" s="447">
        <f>'Cash Flow Statement'!E20</f>
        <v>3459.9728419598159</v>
      </c>
      <c r="E7" s="447">
        <f>'Cash Flow Statement'!F20</f>
        <v>4731.4671029329893</v>
      </c>
      <c r="F7" s="447">
        <f>'Cash Flow Statement'!G20</f>
        <v>3389.9846628584201</v>
      </c>
      <c r="G7" s="447">
        <f>'Cash Flow Statement'!H20</f>
        <v>13139.534775459859</v>
      </c>
      <c r="H7" s="447">
        <f>'Cash Flow Statement'!I20</f>
        <v>17942.427757468977</v>
      </c>
      <c r="I7" s="447">
        <f>'Cash Flow Statement'!J20</f>
        <v>17991.871061833543</v>
      </c>
      <c r="J7" s="447">
        <f>'Cash Flow Statement'!K20</f>
        <v>18722.450048089704</v>
      </c>
      <c r="K7" s="447">
        <f>'Cash Flow Statement'!L20</f>
        <v>16595.068490032951</v>
      </c>
      <c r="L7" s="447">
        <f>'Cash Flow Statement'!M20</f>
        <v>15210.451605659378</v>
      </c>
      <c r="M7" s="447">
        <f>'Cash Flow Statement'!N20</f>
        <v>25793.465685335803</v>
      </c>
      <c r="N7" s="447">
        <f>'Cash Flow Statement'!O20</f>
        <v>25672.012405721653</v>
      </c>
      <c r="O7" s="447">
        <f>'Cash Flow Statement'!P20</f>
        <v>26159.49496336947</v>
      </c>
      <c r="P7" s="447">
        <f>'Cash Flow Statement'!Q20</f>
        <v>26796.333258146493</v>
      </c>
      <c r="Q7" s="447">
        <f>'Cash Flow Statement'!R20</f>
        <v>27436.337592900971</v>
      </c>
      <c r="R7" s="447">
        <f>'Cash Flow Statement'!S20</f>
        <v>28061.795736944758</v>
      </c>
      <c r="S7" s="447">
        <f>'Cash Flow Statement'!T20</f>
        <v>25483.25069025379</v>
      </c>
      <c r="T7" s="447">
        <f>'Cash Flow Statement'!U20</f>
        <v>25095.439511116983</v>
      </c>
      <c r="U7" s="447">
        <f>'Cash Flow Statement'!V20</f>
        <v>24172.775148132569</v>
      </c>
      <c r="V7" s="447">
        <f>'Cash Flow Statement'!W20</f>
        <v>24023.743397389881</v>
      </c>
      <c r="W7" s="447">
        <f>'Cash Flow Statement'!X20</f>
        <v>35975.098391527354</v>
      </c>
      <c r="X7" s="447">
        <f>'Cash Flow Statement'!Y20</f>
        <v>0</v>
      </c>
      <c r="Y7" s="447">
        <f>'Cash Flow Statement'!Z20</f>
        <v>0</v>
      </c>
      <c r="Z7" s="447">
        <f>'Cash Flow Statement'!AA20</f>
        <v>0</v>
      </c>
      <c r="AA7" s="893">
        <f>'Cash Flow Statement'!AB20</f>
        <v>0</v>
      </c>
      <c r="AB7" s="179"/>
      <c r="AC7" s="21"/>
    </row>
    <row r="8" spans="1:52" s="14" customFormat="1" ht="12.6" customHeight="1">
      <c r="A8" s="779" t="s">
        <v>38</v>
      </c>
      <c r="B8" s="179"/>
      <c r="C8" s="894" t="e">
        <f>XIRR($B$7:C7,$B$6:C6)</f>
        <v>#NUM!</v>
      </c>
      <c r="D8" s="894">
        <f>XIRR($B$7:D7,$B$6:D6)</f>
        <v>-0.84676132872700705</v>
      </c>
      <c r="E8" s="894">
        <f>XIRR($B$7:E7,$B$6:E6)</f>
        <v>-0.55793553665280338</v>
      </c>
      <c r="F8" s="894">
        <f>XIRR($B$7:F7,$B$6:F6)</f>
        <v>-0.4066653620451689</v>
      </c>
      <c r="G8" s="894">
        <f>XIRR($B$7:G7,$B$6:G6)</f>
        <v>-0.14444911517202849</v>
      </c>
      <c r="H8" s="894">
        <f>XIRR($B$7:H7,$B$6:H6)</f>
        <v>-7.2765648365020748E-4</v>
      </c>
      <c r="I8" s="894">
        <f>XIRR($B$7:I7,$B$6:I6)</f>
        <v>7.5488343834877028E-2</v>
      </c>
      <c r="J8" s="894">
        <f>XIRR($B$7:J7,$B$6:J6)</f>
        <v>0.12379730343818668</v>
      </c>
      <c r="K8" s="894">
        <f>XIRR($B$7:K7,$B$6:K6)</f>
        <v>0.15207882523536684</v>
      </c>
      <c r="L8" s="894">
        <f>XIRR($B$7:L7,$B$6:L6)</f>
        <v>0.17032557129859927</v>
      </c>
      <c r="M8" s="894">
        <f>XIRR($B$7:M7,$B$6:M6)</f>
        <v>0.19179983735084533</v>
      </c>
      <c r="N8" s="894">
        <f>XIRR($B$7:N7,$B$6:N6)</f>
        <v>0.20643506646156315</v>
      </c>
      <c r="O8" s="894">
        <f>XIRR($B$7:O7,$B$6:O6)</f>
        <v>0.2170073926448822</v>
      </c>
      <c r="P8" s="894">
        <f>XIRR($B$7:P7,$B$6:P6)</f>
        <v>0.22485397458076478</v>
      </c>
      <c r="Q8" s="894">
        <f>XIRR($B$7:Q7,$B$6:Q6)</f>
        <v>0.23077589869499207</v>
      </c>
      <c r="R8" s="894">
        <f>XIRR($B$7:R7,$B$6:R6)</f>
        <v>0.23529974818229674</v>
      </c>
      <c r="S8" s="894">
        <f>XIRR($B$7:S7,$B$6:S6)</f>
        <v>0.23841186165809633</v>
      </c>
      <c r="T8" s="894">
        <f>XIRR($B$7:T7,$B$6:T6)</f>
        <v>0.24076148867607114</v>
      </c>
      <c r="U8" s="894">
        <f>XIRR($B$7:U7,$B$6:U6)</f>
        <v>0.24251169562339783</v>
      </c>
      <c r="V8" s="894">
        <f>XIRR($B$7:V7,$B$6:V6)</f>
        <v>0.24386546015739441</v>
      </c>
      <c r="W8" s="894">
        <f>XIRR($B$7:W7,$B$6:W6)</f>
        <v>0.24544077515602111</v>
      </c>
      <c r="X8" s="894">
        <f>XIRR($B$7:X7,$B$6:X6)</f>
        <v>0.24544077515602111</v>
      </c>
      <c r="Y8" s="894">
        <f>XIRR($B$7:Y7,$B$6:Y6)</f>
        <v>0.24544077515602111</v>
      </c>
      <c r="Z8" s="894">
        <f>XIRR($B$7:Z7,$B$6:Z6)</f>
        <v>0.24544077515602111</v>
      </c>
      <c r="AA8" s="895">
        <f>XIRR($B$7:AA7,$B$6:AA6)</f>
        <v>0.24544077515602111</v>
      </c>
      <c r="AB8" s="179"/>
      <c r="AC8" s="21"/>
    </row>
    <row r="9" spans="1:52" ht="12.6" customHeight="1">
      <c r="A9" s="779" t="s">
        <v>64</v>
      </c>
      <c r="B9" s="241"/>
      <c r="C9" s="896">
        <f>XNPV('Project Assumptions'!$I$59,$B$7:C7,$B$6:C6)</f>
        <v>-42531.701623891429</v>
      </c>
      <c r="D9" s="896">
        <f>XNPV('Project Assumptions'!$I$59,$B$7:D7,$B$6:D6)</f>
        <v>-39585.763973605528</v>
      </c>
      <c r="E9" s="896">
        <f>XNPV('Project Assumptions'!$I$59,$B$7:E7,$B$6:E6)</f>
        <v>-35988.861494605691</v>
      </c>
      <c r="F9" s="896">
        <f>XNPV('Project Assumptions'!$I$59,$B$7:F7,$B$6:F6)</f>
        <v>-33687.883056685489</v>
      </c>
      <c r="G9" s="896">
        <f>XNPV('Project Assumptions'!$I$59,$B$7:G7,$B$6:G6)</f>
        <v>-25724.881848332683</v>
      </c>
      <c r="H9" s="896">
        <f>XNPV('Project Assumptions'!$I$59,$B$7:H7,$B$6:H6)</f>
        <v>-16019.220524102186</v>
      </c>
      <c r="I9" s="896">
        <f>XNPV('Project Assumptions'!$I$59,$B$7:I7,$B$6:I6)</f>
        <v>-7329.5715358119778</v>
      </c>
      <c r="J9" s="896">
        <f>XNPV('Project Assumptions'!$I$59,$B$7:J7,$B$6:J6)</f>
        <v>744.09042120097456</v>
      </c>
      <c r="K9" s="896">
        <f>XNPV('Project Assumptions'!$I$59,$B$7:K7,$B$6:K6)</f>
        <v>7133.6203322865376</v>
      </c>
      <c r="L9" s="896">
        <f>XNPV('Project Assumptions'!$I$59,$B$7:L7,$B$6:L6)</f>
        <v>12360.940493957416</v>
      </c>
      <c r="M9" s="896">
        <f>XNPV('Project Assumptions'!$I$59,$B$7:M7,$B$6:M6)</f>
        <v>20275.534982286266</v>
      </c>
      <c r="N9" s="896">
        <f>XNPV('Project Assumptions'!$I$59,$B$7:N7,$B$6:N6)</f>
        <v>27308.862807072925</v>
      </c>
      <c r="O9" s="896">
        <f>XNPV('Project Assumptions'!$I$59,$B$7:O7,$B$6:O6)</f>
        <v>33707.865295118543</v>
      </c>
      <c r="P9" s="896">
        <f>XNPV('Project Assumptions'!$I$59,$B$7:P7,$B$6:P6)</f>
        <v>39558.532932784903</v>
      </c>
      <c r="Q9" s="896">
        <f>XNPV('Project Assumptions'!$I$59,$B$7:Q7,$B$6:Q6)</f>
        <v>44907.108949579837</v>
      </c>
      <c r="R9" s="896">
        <f>XNPV('Project Assumptions'!$I$59,$B$7:R7,$B$6:R6)</f>
        <v>49791.489249669532</v>
      </c>
      <c r="S9" s="896">
        <f>XNPV('Project Assumptions'!$I$59,$B$7:S7,$B$6:S6)</f>
        <v>53751.814144912751</v>
      </c>
      <c r="T9" s="896">
        <f>XNPV('Project Assumptions'!$I$59,$B$7:T7,$B$6:T6)</f>
        <v>57232.925603574651</v>
      </c>
      <c r="U9" s="896">
        <f>XNPV('Project Assumptions'!$I$59,$B$7:U7,$B$6:U6)</f>
        <v>60226.786461616823</v>
      </c>
      <c r="V9" s="896">
        <f>XNPV('Project Assumptions'!$I$59,$B$7:V7,$B$6:V6)</f>
        <v>62883.396184314763</v>
      </c>
      <c r="W9" s="896">
        <f>XNPV('Project Assumptions'!$I$59,$B$7:W7,$B$6:W6)</f>
        <v>66435.380546092114</v>
      </c>
      <c r="X9" s="896">
        <f>XNPV('Project Assumptions'!$I$59,$B$7:X7,$B$6:X6)</f>
        <v>66435.380546092114</v>
      </c>
      <c r="Y9" s="896">
        <f>XNPV('Project Assumptions'!$I$59,$B$7:Y7,$B$6:Y6)</f>
        <v>66435.380546092114</v>
      </c>
      <c r="Z9" s="896">
        <f>XNPV('Project Assumptions'!$I$59,$B$7:Z7,$B$6:Z6)</f>
        <v>66435.380546092114</v>
      </c>
      <c r="AA9" s="897">
        <f>XNPV('Project Assumptions'!$I$59,$B$7:AA7,$B$6:AA6)</f>
        <v>66435.380546092114</v>
      </c>
    </row>
    <row r="10" spans="1:52" s="14" customFormat="1" ht="12.6" customHeight="1">
      <c r="A10" s="779"/>
      <c r="B10" s="179"/>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782"/>
      <c r="AB10" s="179"/>
      <c r="AC10" s="21"/>
    </row>
    <row r="11" spans="1:52" s="14" customFormat="1" ht="12.6" customHeight="1">
      <c r="A11" s="795" t="s">
        <v>165</v>
      </c>
      <c r="B11" s="447">
        <f>'Project Assumptions'!C8*-1</f>
        <v>-37076.97100000002</v>
      </c>
      <c r="C11" s="447">
        <f>'Cash Flow Statement'!D22</f>
        <v>-5718.3348220110347</v>
      </c>
      <c r="D11" s="447">
        <f>'Cash Flow Statement'!E22+'Cash Flow Statement'!E43</f>
        <v>3459.9728419598159</v>
      </c>
      <c r="E11" s="447">
        <f>'Cash Flow Statement'!F22+'Cash Flow Statement'!F43</f>
        <v>4731.4671029329893</v>
      </c>
      <c r="F11" s="447">
        <f>'Cash Flow Statement'!G22+'Cash Flow Statement'!G43</f>
        <v>3389.9846628584201</v>
      </c>
      <c r="G11" s="447">
        <f>'Cash Flow Statement'!H22+'Cash Flow Statement'!H43</f>
        <v>13139.534775459859</v>
      </c>
      <c r="H11" s="447">
        <f>'Cash Flow Statement'!I22+'Cash Flow Statement'!I43</f>
        <v>16843.553621887157</v>
      </c>
      <c r="I11" s="447">
        <f>'Cash Flow Statement'!J22+'Cash Flow Statement'!J43</f>
        <v>12517.02714793296</v>
      </c>
      <c r="J11" s="447">
        <f>'Cash Flow Statement'!K22+'Cash Flow Statement'!K43</f>
        <v>12967.986479899511</v>
      </c>
      <c r="K11" s="447">
        <f>'Cash Flow Statement'!L22+'Cash Flow Statement'!L43</f>
        <v>10312.711791011465</v>
      </c>
      <c r="L11" s="447">
        <f>'Cash Flow Statement'!M22+'Cash Flow Statement'!M43</f>
        <v>8551.3940666987855</v>
      </c>
      <c r="M11" s="447">
        <f>'Cash Flow Statement'!N22+'Cash Flow Statement'!N43</f>
        <v>18418.652915276347</v>
      </c>
      <c r="N11" s="447">
        <f>'Cash Flow Statement'!O22+'Cash Flow Statement'!O43</f>
        <v>18410.87142908894</v>
      </c>
      <c r="O11" s="447">
        <f>'Cash Flow Statement'!P22+'Cash Flow Statement'!P43</f>
        <v>18377.397162281239</v>
      </c>
      <c r="P11" s="447">
        <f>'Cash Flow Statement'!Q22+'Cash Flow Statement'!Q43</f>
        <v>18769.900079590167</v>
      </c>
      <c r="Q11" s="447">
        <f>'Cash Flow Statement'!R22+'Cash Flow Statement'!R43</f>
        <v>19159.482179513059</v>
      </c>
      <c r="R11" s="447">
        <f>'Cash Flow Statement'!S22+'Cash Flow Statement'!S43</f>
        <v>17853.6664310001</v>
      </c>
      <c r="S11" s="447">
        <f>'Cash Flow Statement'!T22+'Cash Flow Statement'!T43</f>
        <v>13303.214724200661</v>
      </c>
      <c r="T11" s="447">
        <f>'Cash Flow Statement'!U22+'Cash Flow Statement'!U43</f>
        <v>12535.646014579801</v>
      </c>
      <c r="U11" s="447">
        <f>'Cash Flow Statement'!V22+'Cash Flow Statement'!V43</f>
        <v>11234.082645436923</v>
      </c>
      <c r="V11" s="447">
        <f>'Cash Flow Statement'!W22+'Cash Flow Statement'!W43</f>
        <v>10692.368628376611</v>
      </c>
      <c r="W11" s="447">
        <f>'Cash Flow Statement'!X22+'Cash Flow Statement'!X43</f>
        <v>22214.623256768144</v>
      </c>
      <c r="X11" s="447">
        <f>'Cash Flow Statement'!Y22+'Cash Flow Statement'!Y43</f>
        <v>0</v>
      </c>
      <c r="Y11" s="447">
        <f>'Cash Flow Statement'!Z22+'Cash Flow Statement'!Z43</f>
        <v>0</v>
      </c>
      <c r="Z11" s="447">
        <f>'Cash Flow Statement'!AA22+'Cash Flow Statement'!AA43</f>
        <v>0</v>
      </c>
      <c r="AA11" s="893">
        <f>'Cash Flow Statement'!AB22+'Cash Flow Statement'!AB43</f>
        <v>0</v>
      </c>
      <c r="AB11" s="179"/>
      <c r="AC11" s="21"/>
    </row>
    <row r="12" spans="1:52" s="14" customFormat="1" ht="12.6" customHeight="1">
      <c r="A12" s="779" t="s">
        <v>63</v>
      </c>
      <c r="B12" s="179"/>
      <c r="C12" s="894" t="e">
        <f>XIRR($B$11:C11,$B$6:C6)</f>
        <v>#NUM!</v>
      </c>
      <c r="D12" s="894">
        <f>XIRR($B$11:D11,$B$6:D6)</f>
        <v>-0.84676132872700705</v>
      </c>
      <c r="E12" s="894">
        <f>XIRR($B$11:E11,$B$6:E6)</f>
        <v>-0.55793553665280338</v>
      </c>
      <c r="F12" s="894">
        <f>XIRR($B$11:F11,$B$6:F6)</f>
        <v>-0.4066653620451689</v>
      </c>
      <c r="G12" s="894">
        <f>XIRR($B$11:G11,$B$6:G6)</f>
        <v>-0.14444911517202849</v>
      </c>
      <c r="H12" s="894">
        <f>XIRR($B$11:H11,$B$6:H6)</f>
        <v>-6.8967431783676144E-3</v>
      </c>
      <c r="I12" s="894">
        <f>XIRR($B$11:I11,$B$6:I6)</f>
        <v>5.1554694771766663E-2</v>
      </c>
      <c r="J12" s="894">
        <f>XIRR($B$11:J11,$B$6:J6)</f>
        <v>9.2081704735755929E-2</v>
      </c>
      <c r="K12" s="894">
        <f>XIRR($B$11:K11,$B$6:K6)</f>
        <v>0.11489047408103945</v>
      </c>
      <c r="L12" s="894">
        <f>XIRR($B$11:L11,$B$6:L6)</f>
        <v>0.12912572026252747</v>
      </c>
      <c r="M12" s="894">
        <f>XIRR($B$11:M11,$B$6:M6)</f>
        <v>0.15128059983253481</v>
      </c>
      <c r="N12" s="894">
        <f>XIRR($B$11:N11,$B$6:N6)</f>
        <v>0.16669037938117981</v>
      </c>
      <c r="O12" s="894">
        <f>XIRR($B$11:O11,$B$6:O6)</f>
        <v>0.17779895663261414</v>
      </c>
      <c r="P12" s="894">
        <f>XIRR($B$11:P11,$B$6:P6)</f>
        <v>0.18618929982185367</v>
      </c>
      <c r="Q12" s="894">
        <f>XIRR($B$11:Q11,$B$6:Q6)</f>
        <v>0.19263206124305723</v>
      </c>
      <c r="R12" s="894">
        <f>XIRR($B$11:R11,$B$6:R6)</f>
        <v>0.19722543358802799</v>
      </c>
      <c r="S12" s="894">
        <f>XIRR($B$11:S11,$B$6:S6)</f>
        <v>0.19990456700325013</v>
      </c>
      <c r="T12" s="894">
        <f>XIRR($B$11:T11,$B$6:T6)</f>
        <v>0.20191403031349178</v>
      </c>
      <c r="U12" s="894">
        <f>XIRR($B$11:U11,$B$6:U6)</f>
        <v>0.20335934758186344</v>
      </c>
      <c r="V12" s="894">
        <f>XIRR($B$11:V11,$B$6:V6)</f>
        <v>0.20447029471397402</v>
      </c>
      <c r="W12" s="894">
        <f>XIRR($B$11:W11,$B$6:W6)</f>
        <v>0.20631921887397769</v>
      </c>
      <c r="X12" s="894">
        <f>XIRR($B$11:X11,$B$6:X6)</f>
        <v>0.20631921887397769</v>
      </c>
      <c r="Y12" s="894">
        <f>XIRR($B$11:Y11,$B$6:Y6)</f>
        <v>0.20631921887397769</v>
      </c>
      <c r="Z12" s="894">
        <f>XIRR($B$11:Z11,$B$6:Z6)</f>
        <v>0.20631921887397769</v>
      </c>
      <c r="AA12" s="895">
        <f>XIRR($B$11:AA11,$B$6:AA6)</f>
        <v>0.20631921887397769</v>
      </c>
      <c r="AB12" s="179"/>
      <c r="AC12" s="21"/>
    </row>
    <row r="13" spans="1:52" ht="12.6" customHeight="1">
      <c r="A13" s="779" t="s">
        <v>65</v>
      </c>
      <c r="B13" s="241"/>
      <c r="C13" s="896">
        <f>XNPV('Project Assumptions'!$I$59,$B$11:C11,$B$6:C6)</f>
        <v>-42531.701623891429</v>
      </c>
      <c r="D13" s="896">
        <f>XNPV('Project Assumptions'!$I$59,$B$11:D11,$B$6:D6)</f>
        <v>-39585.763973605528</v>
      </c>
      <c r="E13" s="896">
        <f>XNPV('Project Assumptions'!$I$59,$B$11:E11,$B$6:E6)</f>
        <v>-35988.861494605691</v>
      </c>
      <c r="F13" s="896">
        <f>XNPV('Project Assumptions'!$I$59,$B$11:F11,$B$6:F6)</f>
        <v>-33687.883056685489</v>
      </c>
      <c r="G13" s="896">
        <f>XNPV('Project Assumptions'!$I$59,$B$11:G11,$B$6:G6)</f>
        <v>-25724.881848332683</v>
      </c>
      <c r="H13" s="896">
        <f>XNPV('Project Assumptions'!$I$59,$B$11:H11,$B$6:H6)</f>
        <v>-16613.638422397693</v>
      </c>
      <c r="I13" s="896">
        <f>XNPV('Project Assumptions'!$I$59,$B$11:I11,$B$6:I6)</f>
        <v>-10568.209799736578</v>
      </c>
      <c r="J13" s="896">
        <f>XNPV('Project Assumptions'!$I$59,$B$11:J11,$B$6:J6)</f>
        <v>-4976.0389656364914</v>
      </c>
      <c r="K13" s="896">
        <f>XNPV('Project Assumptions'!$I$59,$B$11:K11,$B$6:K6)</f>
        <v>-1005.3786159881433</v>
      </c>
      <c r="L13" s="896">
        <f>XNPV('Project Assumptions'!$I$59,$B$11:L11,$B$6:L6)</f>
        <v>1933.4476446743179</v>
      </c>
      <c r="M13" s="896">
        <f>XNPV('Project Assumptions'!$I$59,$B$11:M11,$B$6:M6)</f>
        <v>7585.1181345598816</v>
      </c>
      <c r="N13" s="896">
        <f>XNPV('Project Assumptions'!$I$59,$B$11:N11,$B$6:N6)</f>
        <v>12629.120616886546</v>
      </c>
      <c r="O13" s="896">
        <f>XNPV('Project Assumptions'!$I$59,$B$11:O11,$B$6:O6)</f>
        <v>17124.505957081703</v>
      </c>
      <c r="P13" s="896">
        <f>XNPV('Project Assumptions'!$I$59,$B$11:P11,$B$6:P6)</f>
        <v>21222.695283955505</v>
      </c>
      <c r="Q13" s="896">
        <f>XNPV('Project Assumptions'!$I$59,$B$11:Q11,$B$6:Q6)</f>
        <v>24957.739968128972</v>
      </c>
      <c r="R13" s="896">
        <f>XNPV('Project Assumptions'!$I$59,$B$11:R11,$B$6:R6)</f>
        <v>28065.313603737082</v>
      </c>
      <c r="S13" s="896">
        <f>XNPV('Project Assumptions'!$I$59,$B$11:S11,$B$6:S6)</f>
        <v>30132.752059662478</v>
      </c>
      <c r="T13" s="896">
        <f>XNPV('Project Assumptions'!$I$59,$B$11:T11,$B$6:T6)</f>
        <v>31871.632981184175</v>
      </c>
      <c r="U13" s="896">
        <f>XNPV('Project Assumptions'!$I$59,$B$11:U11,$B$6:U6)</f>
        <v>33263.003235616161</v>
      </c>
      <c r="V13" s="896">
        <f>XNPV('Project Assumptions'!$I$59,$B$11:V11,$B$6:V6)</f>
        <v>34445.393922485629</v>
      </c>
      <c r="W13" s="896">
        <f>XNPV('Project Assumptions'!$I$59,$B$11:W11,$B$6:W6)</f>
        <v>36638.74426588315</v>
      </c>
      <c r="X13" s="896">
        <f>XNPV('Project Assumptions'!$I$59,$B$11:X11,$B$6:X6)</f>
        <v>36638.74426588315</v>
      </c>
      <c r="Y13" s="896">
        <f>XNPV('Project Assumptions'!$I$59,$B$11:Y11,$B$6:Y6)</f>
        <v>36638.74426588315</v>
      </c>
      <c r="Z13" s="896">
        <f>XNPV('Project Assumptions'!$I$59,$B$11:Z11,$B$6:Z6)</f>
        <v>36638.74426588315</v>
      </c>
      <c r="AA13" s="897">
        <f>XNPV('Project Assumptions'!$I$59,$B$11:AA11,$B$6:AA6)</f>
        <v>36638.74426588315</v>
      </c>
    </row>
    <row r="14" spans="1:52" s="14" customFormat="1" ht="12.6" customHeight="1">
      <c r="A14" s="779"/>
      <c r="B14" s="179"/>
      <c r="C14" s="179"/>
      <c r="D14" s="179"/>
      <c r="E14" s="179"/>
      <c r="F14" s="179"/>
      <c r="G14" s="179"/>
      <c r="H14" s="179"/>
      <c r="I14" s="179"/>
      <c r="J14" s="179"/>
      <c r="K14" s="179"/>
      <c r="L14" s="179"/>
      <c r="M14" s="179"/>
      <c r="N14" s="179"/>
      <c r="O14" s="179"/>
      <c r="P14" s="179"/>
      <c r="Q14" s="179"/>
      <c r="R14" s="179"/>
      <c r="S14" s="179"/>
      <c r="T14" s="179"/>
      <c r="U14" s="179"/>
      <c r="V14" s="179"/>
      <c r="W14" s="179"/>
      <c r="X14" s="179"/>
      <c r="Y14" s="179"/>
      <c r="Z14" s="179"/>
      <c r="AA14" s="782"/>
      <c r="AB14" s="179"/>
      <c r="AC14" s="21"/>
    </row>
    <row r="15" spans="1:52" ht="12.6" customHeight="1">
      <c r="A15" s="795" t="s">
        <v>129</v>
      </c>
      <c r="B15" s="447">
        <f>-('Project Assumptions'!C8+'Project Assumptions'!C9)</f>
        <v>-154763.97100000002</v>
      </c>
      <c r="C15" s="896">
        <f>+'Cash Flow Statement'!D20+'Cash Flow Statement'!D16+'Cash Flow Statement'!D12+'Cash Flow Statement'!D11+'Cash Flow Statement'!D10</f>
        <v>17304.600777988966</v>
      </c>
      <c r="D15" s="896">
        <f>+'Cash Flow Statement'!E20+'Cash Flow Statement'!E16+'Cash Flow Statement'!E12+'Cash Flow Statement'!E11+'Cash Flow Statement'!E10</f>
        <v>25844.096841959814</v>
      </c>
      <c r="E15" s="896">
        <f>+'Cash Flow Statement'!F20+'Cash Flow Statement'!F16+'Cash Flow Statement'!F12+'Cash Flow Statement'!F11+'Cash Flow Statement'!F10</f>
        <v>28223.179502932991</v>
      </c>
      <c r="F15" s="896">
        <f>+'Cash Flow Statement'!G20+'Cash Flow Statement'!G16+'Cash Flow Statement'!G12+'Cash Flow Statement'!G11+'Cash Flow Statement'!G10</f>
        <v>27724.880502858421</v>
      </c>
      <c r="G15" s="896">
        <f>+'Cash Flow Statement'!H20+'Cash Flow Statement'!H16+'Cash Flow Statement'!H12+'Cash Flow Statement'!H11+'Cash Flow Statement'!H10</f>
        <v>32836.309095459859</v>
      </c>
      <c r="H15" s="896">
        <f>+'Cash Flow Statement'!I20+'Cash Flow Statement'!I16+'Cash Flow Statement'!I12+'Cash Flow Statement'!I11+'Cash Flow Statement'!I10</f>
        <v>36901.720357468977</v>
      </c>
      <c r="I15" s="896">
        <f>+'Cash Flow Statement'!J20+'Cash Flow Statement'!J16+'Cash Flow Statement'!J12+'Cash Flow Statement'!J11+'Cash Flow Statement'!J10</f>
        <v>36851.431941833544</v>
      </c>
      <c r="J15" s="896">
        <f>+'Cash Flow Statement'!K20+'Cash Flow Statement'!K16+'Cash Flow Statement'!K12+'Cash Flow Statement'!K11+'Cash Flow Statement'!K10</f>
        <v>36740.1933080897</v>
      </c>
      <c r="K15" s="896">
        <f>+'Cash Flow Statement'!L20+'Cash Flow Statement'!L16+'Cash Flow Statement'!L12+'Cash Flow Statement'!L11+'Cash Flow Statement'!L10</f>
        <v>37263.794130032948</v>
      </c>
      <c r="L15" s="896">
        <f>+'Cash Flow Statement'!M20+'Cash Flow Statement'!M16+'Cash Flow Statement'!M12+'Cash Flow Statement'!M11+'Cash Flow Statement'!M10</f>
        <v>36892.699705659375</v>
      </c>
      <c r="M15" s="896">
        <f>+'Cash Flow Statement'!N20+'Cash Flow Statement'!N16+'Cash Flow Statement'!N12+'Cash Flow Statement'!N11+'Cash Flow Statement'!N10</f>
        <v>37004.345385335801</v>
      </c>
      <c r="N15" s="896">
        <f>+'Cash Flow Statement'!O20+'Cash Flow Statement'!O16+'Cash Flow Statement'!O12+'Cash Flow Statement'!O11+'Cash Flow Statement'!O10</f>
        <v>37103.29850572165</v>
      </c>
      <c r="O15" s="896">
        <f>+'Cash Flow Statement'!P20+'Cash Flow Statement'!P16+'Cash Flow Statement'!P12+'Cash Flow Statement'!P11+'Cash Flow Statement'!P10</f>
        <v>37069.10156336947</v>
      </c>
      <c r="P15" s="896">
        <f>+'Cash Flow Statement'!Q20+'Cash Flow Statement'!Q16+'Cash Flow Statement'!Q12+'Cash Flow Statement'!Q11+'Cash Flow Statement'!Q10</f>
        <v>37184.260358146494</v>
      </c>
      <c r="Q15" s="896">
        <f>+'Cash Flow Statement'!R20+'Cash Flow Statement'!R16+'Cash Flow Statement'!R12+'Cash Flow Statement'!R11+'Cash Flow Statement'!R10</f>
        <v>37302.585192900973</v>
      </c>
      <c r="R15" s="896">
        <f>+'Cash Flow Statement'!S20+'Cash Flow Statement'!S16+'Cash Flow Statement'!S12+'Cash Flow Statement'!S11+'Cash Flow Statement'!S10</f>
        <v>37406.363836944758</v>
      </c>
      <c r="S15" s="896">
        <f>+'Cash Flow Statement'!T20+'Cash Flow Statement'!T16+'Cash Flow Statement'!T12+'Cash Flow Statement'!T11+'Cash Flow Statement'!T10</f>
        <v>37494.889290253792</v>
      </c>
      <c r="T15" s="896">
        <f>+'Cash Flow Statement'!U20+'Cash Flow Statement'!U16+'Cash Flow Statement'!U12+'Cash Flow Statement'!U11+'Cash Flow Statement'!U10</f>
        <v>37339.219111116981</v>
      </c>
      <c r="U15" s="896">
        <f>+'Cash Flow Statement'!V20+'Cash Flow Statement'!V16+'Cash Flow Statement'!V12+'Cash Flow Statement'!V11+'Cash Flow Statement'!V10</f>
        <v>37077.77394813257</v>
      </c>
      <c r="V15" s="896">
        <f>+'Cash Flow Statement'!W20+'Cash Flow Statement'!W16+'Cash Flow Statement'!W12+'Cash Flow Statement'!W11+'Cash Flow Statement'!W10</f>
        <v>36639.203697389887</v>
      </c>
      <c r="W15" s="896">
        <f>+'Cash Flow Statement'!X20+'Cash Flow Statement'!X16+'Cash Flow Statement'!X12+'Cash Flow Statement'!X11+'Cash Flow Statement'!X10</f>
        <v>35975.098391527354</v>
      </c>
      <c r="X15" s="896">
        <f>+'Cash Flow Statement'!Y20+'Cash Flow Statement'!Y16+'Cash Flow Statement'!Y12+'Cash Flow Statement'!Y11+'Cash Flow Statement'!Y10</f>
        <v>0</v>
      </c>
      <c r="Y15" s="896">
        <f>+'Cash Flow Statement'!Z20+'Cash Flow Statement'!Z16+'Cash Flow Statement'!Z12+'Cash Flow Statement'!Z11+'Cash Flow Statement'!Z10</f>
        <v>0</v>
      </c>
      <c r="Z15" s="896">
        <f>+'Cash Flow Statement'!AA20+'Cash Flow Statement'!AA16+'Cash Flow Statement'!AA12+'Cash Flow Statement'!AA11+'Cash Flow Statement'!AA10</f>
        <v>0</v>
      </c>
      <c r="AA15" s="897">
        <f>+'Cash Flow Statement'!AB20+'Cash Flow Statement'!AB16+'Cash Flow Statement'!AB12+'Cash Flow Statement'!AB11+'Cash Flow Statement'!AB10</f>
        <v>0</v>
      </c>
    </row>
    <row r="16" spans="1:52" s="14" customFormat="1" ht="12.6" customHeight="1">
      <c r="A16" s="779" t="s">
        <v>127</v>
      </c>
      <c r="B16" s="179"/>
      <c r="C16" s="894">
        <f>XIRR($B$15:C15,$B$6:C6)</f>
        <v>-0.9948104687035082</v>
      </c>
      <c r="D16" s="894">
        <f>XIRR($B$15:D15,$B$6:D6)</f>
        <v>-0.67458567842841144</v>
      </c>
      <c r="E16" s="894">
        <f>XIRR($B$15:E15,$B$6:E6)</f>
        <v>-0.36489468738436709</v>
      </c>
      <c r="F16" s="894">
        <f>XIRR($B$15:F15,$B$6:F6)</f>
        <v>-0.18335248157382011</v>
      </c>
      <c r="G16" s="894">
        <f>XIRR($B$15:G15,$B$6:G6)</f>
        <v>-5.69315105676651E-2</v>
      </c>
      <c r="H16" s="894">
        <f>XIRR($B$15:H15,$B$6:H6)</f>
        <v>2.7280059456825254E-2</v>
      </c>
      <c r="I16" s="894">
        <f>XIRR($B$15:I15,$B$6:I6)</f>
        <v>8.0130359530448933E-2</v>
      </c>
      <c r="J16" s="894">
        <f>XIRR($B$15:J15,$B$6:J6)</f>
        <v>0.11530044674873352</v>
      </c>
      <c r="K16" s="894">
        <f>XIRR($B$15:K15,$B$6:K6)</f>
        <v>0.14004878401756279</v>
      </c>
      <c r="L16" s="894">
        <f>XIRR($B$15:L15,$B$6:L6)</f>
        <v>0.15754699110984802</v>
      </c>
      <c r="M16" s="894">
        <f>XIRR($B$15:M15,$B$6:M6)</f>
        <v>0.17039147019386292</v>
      </c>
      <c r="N16" s="894">
        <f>XIRR($B$15:N15,$B$6:N6)</f>
        <v>0.17998951077461248</v>
      </c>
      <c r="O16" s="894">
        <f>XIRR($B$15:O15,$B$6:O6)</f>
        <v>0.18724480271339419</v>
      </c>
      <c r="P16" s="894">
        <f>XIRR($B$15:P15,$B$6:P6)</f>
        <v>0.19281815886497503</v>
      </c>
      <c r="Q16" s="894">
        <f>XIRR($B$15:Q15,$B$6:Q6)</f>
        <v>0.19714621901512147</v>
      </c>
      <c r="R16" s="894">
        <f>XIRR($B$15:R15,$B$6:R6)</f>
        <v>0.20053532719612124</v>
      </c>
      <c r="S16" s="894">
        <f>XIRR($B$15:S15,$B$6:S6)</f>
        <v>0.20320790410041806</v>
      </c>
      <c r="T16" s="894">
        <f>XIRR($B$15:T15,$B$6:T6)</f>
        <v>0.20531433224678047</v>
      </c>
      <c r="U16" s="894">
        <f>XIRR($B$15:U15,$B$6:U6)</f>
        <v>0.20698018670082088</v>
      </c>
      <c r="V16" s="894">
        <f>XIRR($B$15:V15,$B$6:V6)</f>
        <v>0.20829779505729676</v>
      </c>
      <c r="W16" s="894">
        <f>XIRR($B$15:W15,$B$6:W6)</f>
        <v>0.20933790802955629</v>
      </c>
      <c r="X16" s="894">
        <f>XIRR($B$15:X15,$B$6:X6)</f>
        <v>0.20933790802955629</v>
      </c>
      <c r="Y16" s="894">
        <f>XIRR($B$15:Y15,$B$6:Y6)</f>
        <v>0.20933790802955629</v>
      </c>
      <c r="Z16" s="894">
        <f>XIRR($B$15:Z15,$B$6:Z6)</f>
        <v>0.20933790802955629</v>
      </c>
      <c r="AA16" s="895">
        <f>XIRR($B$15:AA15,$B$6:AA6)</f>
        <v>0.20933790802955629</v>
      </c>
      <c r="AB16" s="179"/>
      <c r="AC16" s="21"/>
    </row>
    <row r="17" spans="1:29" ht="12.6" customHeight="1">
      <c r="A17" s="779" t="s">
        <v>128</v>
      </c>
      <c r="B17" s="241"/>
      <c r="C17" s="896">
        <f>XNPV('Project Assumptions'!$I$59,$B$15:C15,$B$6:C6)</f>
        <v>-138257.07891760959</v>
      </c>
      <c r="D17" s="896">
        <f>XNPV('Project Assumptions'!$I$59,$B$15:D15,$B$6:D6)</f>
        <v>-116252.5426388683</v>
      </c>
      <c r="E17" s="896">
        <f>XNPV('Project Assumptions'!$I$59,$B$15:E15,$B$6:E6)</f>
        <v>-94797.035898384303</v>
      </c>
      <c r="F17" s="896">
        <f>XNPV('Project Assumptions'!$I$59,$B$15:F15,$B$6:F6)</f>
        <v>-75978.557770757543</v>
      </c>
      <c r="G17" s="896">
        <f>XNPV('Project Assumptions'!$I$59,$B$15:G15,$B$6:G6)</f>
        <v>-56078.6470453535</v>
      </c>
      <c r="H17" s="896">
        <f>XNPV('Project Assumptions'!$I$59,$B$15:H15,$B$6:H6)</f>
        <v>-36117.268077450746</v>
      </c>
      <c r="I17" s="896">
        <f>XNPV('Project Assumptions'!$I$59,$B$15:I15,$B$6:I6)</f>
        <v>-18318.896402272389</v>
      </c>
      <c r="J17" s="896">
        <f>XNPV('Project Assumptions'!$I$59,$B$15:J15,$B$6:J6)</f>
        <v>-2475.4624370103829</v>
      </c>
      <c r="K17" s="896">
        <f>XNPV('Project Assumptions'!$I$59,$B$15:K15,$B$6:K6)</f>
        <v>11872.060583902885</v>
      </c>
      <c r="L17" s="896">
        <f>XNPV('Project Assumptions'!$I$59,$B$15:L15,$B$6:L6)</f>
        <v>24550.839491302879</v>
      </c>
      <c r="M17" s="896">
        <f>XNPV('Project Assumptions'!$I$59,$B$15:M15,$B$6:M6)</f>
        <v>35905.435713612853</v>
      </c>
      <c r="N17" s="896">
        <f>XNPV('Project Assumptions'!$I$59,$B$15:N15,$B$6:N6)</f>
        <v>46070.578112558404</v>
      </c>
      <c r="O17" s="896">
        <f>XNPV('Project Assumptions'!$I$59,$B$15:O15,$B$6:O6)</f>
        <v>55138.233029664792</v>
      </c>
      <c r="P17" s="896">
        <f>XNPV('Project Assumptions'!$I$59,$B$15:P15,$B$6:P6)</f>
        <v>63256.98370395074</v>
      </c>
      <c r="Q17" s="896">
        <f>XNPV('Project Assumptions'!$I$59,$B$15:Q15,$B$6:Q6)</f>
        <v>70528.93506595846</v>
      </c>
      <c r="R17" s="896">
        <f>XNPV('Project Assumptions'!$I$59,$B$15:R15,$B$6:R6)</f>
        <v>77039.812286214816</v>
      </c>
      <c r="S17" s="896">
        <f>XNPV('Project Assumptions'!$I$59,$B$15:S15,$B$6:S6)</f>
        <v>82866.853165162494</v>
      </c>
      <c r="T17" s="896">
        <f>XNPV('Project Assumptions'!$I$59,$B$15:T15,$B$6:T6)</f>
        <v>88046.359323945493</v>
      </c>
      <c r="U17" s="896">
        <f>XNPV('Project Assumptions'!$I$59,$B$15:U15,$B$6:U6)</f>
        <v>92638.537733184756</v>
      </c>
      <c r="V17" s="896">
        <f>XNPV('Project Assumptions'!$I$59,$B$15:V15,$B$6:V6)</f>
        <v>96690.198757210339</v>
      </c>
      <c r="W17" s="896">
        <f>XNPV('Project Assumptions'!$I$59,$B$15:W15,$B$6:W6)</f>
        <v>100242.1831189877</v>
      </c>
      <c r="X17" s="896">
        <f>XNPV('Project Assumptions'!$I$59,$B$15:X15,$B$6:X6)</f>
        <v>100242.1831189877</v>
      </c>
      <c r="Y17" s="896">
        <f>XNPV('Project Assumptions'!$I$59,$B$15:Y15,$B$6:Y6)</f>
        <v>100242.1831189877</v>
      </c>
      <c r="Z17" s="896">
        <f>XNPV('Project Assumptions'!$I$59,$B$15:Z15,$B$6:Z6)</f>
        <v>100242.1831189877</v>
      </c>
      <c r="AA17" s="897">
        <f>XNPV('Project Assumptions'!$I$59,$B$15:AA15,$B$6:AA6)</f>
        <v>100242.1831189877</v>
      </c>
    </row>
    <row r="18" spans="1:29" s="14" customFormat="1" ht="12.6" customHeight="1">
      <c r="A18" s="779" t="s">
        <v>287</v>
      </c>
      <c r="B18" s="898">
        <v>0.12</v>
      </c>
      <c r="C18" s="179"/>
      <c r="D18" s="179"/>
      <c r="E18" s="179"/>
      <c r="F18" s="179"/>
      <c r="G18" s="179"/>
      <c r="H18" s="179"/>
      <c r="I18" s="179"/>
      <c r="J18" s="179"/>
      <c r="K18" s="179"/>
      <c r="L18" s="179"/>
      <c r="M18" s="179"/>
      <c r="N18" s="179"/>
      <c r="O18" s="179"/>
      <c r="P18" s="179"/>
      <c r="Q18" s="179"/>
      <c r="R18" s="179"/>
      <c r="S18" s="179"/>
      <c r="T18" s="179"/>
      <c r="U18" s="179"/>
      <c r="V18" s="179"/>
      <c r="W18" s="179"/>
      <c r="X18" s="179"/>
      <c r="Y18" s="179"/>
      <c r="Z18" s="179"/>
      <c r="AA18" s="782"/>
      <c r="AB18" s="179"/>
      <c r="AC18" s="21"/>
    </row>
    <row r="19" spans="1:29" ht="12.6" customHeight="1">
      <c r="A19" s="678" t="s">
        <v>288</v>
      </c>
      <c r="B19" s="899">
        <f>NPV(B18,B11:V11)</f>
        <v>26718.577769188345</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807"/>
    </row>
    <row r="20" spans="1:29">
      <c r="A20" s="683" t="s">
        <v>289</v>
      </c>
      <c r="B20" s="632"/>
      <c r="C20" s="632"/>
      <c r="D20" s="632"/>
      <c r="E20" s="632"/>
      <c r="F20" s="632"/>
      <c r="G20" s="632"/>
      <c r="H20" s="632"/>
      <c r="I20" s="632"/>
      <c r="J20" s="632"/>
      <c r="K20" s="632"/>
      <c r="L20" s="632"/>
      <c r="M20" s="632"/>
      <c r="N20" s="632"/>
      <c r="O20" s="632"/>
      <c r="P20" s="632"/>
      <c r="Q20" s="632"/>
      <c r="R20" s="632"/>
      <c r="S20" s="632"/>
      <c r="T20" s="632"/>
      <c r="U20" s="632"/>
      <c r="V20" s="632"/>
      <c r="W20" s="632"/>
      <c r="X20" s="632"/>
      <c r="Y20" s="632"/>
      <c r="Z20" s="632"/>
      <c r="AA20" s="633"/>
    </row>
    <row r="21" spans="1:29" s="98" customFormat="1" ht="12.6" customHeight="1">
      <c r="A21" s="440"/>
      <c r="B21" s="179"/>
      <c r="C21" s="179"/>
      <c r="D21" s="179"/>
      <c r="E21" s="179"/>
      <c r="F21" s="179"/>
      <c r="G21" s="179"/>
      <c r="H21" s="179"/>
      <c r="I21" s="179"/>
      <c r="J21" s="179"/>
      <c r="K21" s="179"/>
      <c r="L21" s="179"/>
      <c r="M21" s="179"/>
      <c r="N21" s="179"/>
      <c r="O21" s="179"/>
      <c r="P21" s="179"/>
      <c r="Q21" s="179"/>
      <c r="R21" s="179"/>
      <c r="S21" s="179"/>
      <c r="T21" s="179"/>
      <c r="U21" s="179"/>
      <c r="V21" s="179"/>
      <c r="W21" s="179"/>
      <c r="X21" s="179"/>
      <c r="Y21" s="179"/>
      <c r="Z21" s="179"/>
      <c r="AA21" s="179"/>
      <c r="AB21" s="170"/>
    </row>
    <row r="22" spans="1:29" s="101" customFormat="1" ht="15.75">
      <c r="A22" s="792" t="s">
        <v>163</v>
      </c>
      <c r="B22" s="641"/>
      <c r="C22" s="641"/>
      <c r="D22" s="641"/>
      <c r="E22" s="641"/>
      <c r="F22" s="641"/>
      <c r="G22" s="641"/>
      <c r="H22" s="641"/>
      <c r="I22" s="641"/>
      <c r="J22" s="641"/>
      <c r="K22" s="641"/>
      <c r="L22" s="641"/>
      <c r="M22" s="641"/>
      <c r="N22" s="641"/>
      <c r="O22" s="641"/>
      <c r="P22" s="641"/>
      <c r="Q22" s="641"/>
      <c r="R22" s="641"/>
      <c r="S22" s="641"/>
      <c r="T22" s="641"/>
      <c r="U22" s="641"/>
      <c r="V22" s="641"/>
      <c r="W22" s="641"/>
      <c r="X22" s="641"/>
      <c r="Y22" s="641"/>
      <c r="Z22" s="641"/>
      <c r="AA22" s="738"/>
      <c r="AB22" s="179"/>
    </row>
    <row r="23" spans="1:29" s="115" customFormat="1" ht="12.6" customHeight="1">
      <c r="A23" s="779" t="s">
        <v>145</v>
      </c>
      <c r="B23" s="447"/>
      <c r="C23" s="447">
        <f>'Debt Amortization'!E54</f>
        <v>13884.4678</v>
      </c>
      <c r="D23" s="447">
        <f>'Debt Amortization'!F54</f>
        <v>13565.062</v>
      </c>
      <c r="E23" s="447">
        <f>'Debt Amortization'!G54</f>
        <v>14992.056200000001</v>
      </c>
      <c r="F23" s="447">
        <f>'Debt Amortization'!H54</f>
        <v>16286.84792</v>
      </c>
      <c r="G23" s="447">
        <f>'Debt Amortization'!I54</f>
        <v>12232.53716</v>
      </c>
      <c r="H23" s="447">
        <f>'Debt Amortization'!J54</f>
        <v>11863.7963</v>
      </c>
      <c r="I23" s="447">
        <f>'Debt Amortization'!K54</f>
        <v>12132.80544</v>
      </c>
      <c r="J23" s="447">
        <f>'Debt Amortization'!L54</f>
        <v>11711.896629999999</v>
      </c>
      <c r="K23" s="447">
        <f>'Debt Amortization'!M54</f>
        <v>14783.787820000001</v>
      </c>
      <c r="L23" s="447">
        <f>'Debt Amortization'!N54</f>
        <v>16482.624049999999</v>
      </c>
      <c r="M23" s="447">
        <f>'Debt Amortization'!O54</f>
        <v>6880.9398499999998</v>
      </c>
      <c r="N23" s="447">
        <f>'Debt Amortization'!P54</f>
        <v>7310.0180499999997</v>
      </c>
      <c r="O23" s="447">
        <f>'Debt Amortization'!Q54</f>
        <v>7049.1782999999996</v>
      </c>
      <c r="P23" s="447">
        <f>'Debt Amortization'!R54</f>
        <v>6788.3385500000004</v>
      </c>
      <c r="Q23" s="447">
        <f>'Debt Amortization'!S54</f>
        <v>6527.4987999999994</v>
      </c>
      <c r="R23" s="447">
        <f>'Debt Amortization'!T54</f>
        <v>6266.6590500000002</v>
      </c>
      <c r="S23" s="447">
        <f>'Debt Amortization'!U54</f>
        <v>9194.5692999999992</v>
      </c>
      <c r="T23" s="447">
        <f>'Debt Amortization'!V54</f>
        <v>9948.3898000000008</v>
      </c>
      <c r="U23" s="447">
        <f>'Debt Amortization'!W54</f>
        <v>11235.624400000001</v>
      </c>
      <c r="V23" s="447">
        <f>'Debt Amortization'!X54</f>
        <v>11728.605149999999</v>
      </c>
      <c r="W23" s="447">
        <f>'Debt Amortization'!Y54</f>
        <v>0</v>
      </c>
      <c r="X23" s="447">
        <f>'Debt Amortization'!Z54</f>
        <v>0</v>
      </c>
      <c r="Y23" s="447">
        <f>'Debt Amortization'!AA54</f>
        <v>0</v>
      </c>
      <c r="Z23" s="447">
        <f>'Debt Amortization'!AB54</f>
        <v>0</v>
      </c>
      <c r="AA23" s="447">
        <f>'Debt Amortization'!AC54</f>
        <v>0</v>
      </c>
      <c r="AB23" s="195"/>
    </row>
    <row r="24" spans="1:29" s="98" customFormat="1" ht="12.6" customHeight="1">
      <c r="A24" s="779" t="s">
        <v>146</v>
      </c>
      <c r="B24" s="179"/>
      <c r="C24" s="900">
        <f>IF(C23&lt;=0, "N/A", +'Book Income Statement'!D61/C23)</f>
        <v>0.58088769678810337</v>
      </c>
      <c r="D24" s="900">
        <f>IF(D23&lt;=0, "N/A", +'Book Income Statement'!E61/D23)</f>
        <v>1.418012559762807</v>
      </c>
      <c r="E24" s="900">
        <f>IF(E23&lt;=0, "N/A", +'Book Income Statement'!F61/E23)</f>
        <v>1.3000871932257037</v>
      </c>
      <c r="F24" s="900">
        <f>IF(F23&lt;=0, "N/A", +'Book Income Statement'!G61/F23)</f>
        <v>1.1938998920982331</v>
      </c>
      <c r="G24" s="900">
        <f>IF(G23&lt;=0, "N/A", +'Book Income Statement'!H61/G23)</f>
        <v>2.0494353217206229</v>
      </c>
      <c r="H24" s="900">
        <f>IF(H23&lt;=0, "N/A", +'Book Income Statement'!I61/H23)</f>
        <v>2.4822748543974043</v>
      </c>
      <c r="I24" s="900">
        <f>IF(I23&lt;=0, "N/A", +'Book Income Statement'!J61/I23)</f>
        <v>2.4531609208668477</v>
      </c>
      <c r="J24" s="900">
        <f>IF(J23&lt;=0, "N/A", +'Book Income Statement'!K61/J23)</f>
        <v>2.5679060214517868</v>
      </c>
      <c r="K24" s="900">
        <f>IF(K23&lt;=0, "N/A", +'Book Income Statement'!L61/K23)</f>
        <v>2.0974258610538614</v>
      </c>
      <c r="L24" s="900">
        <f>IF(L23&lt;=0, "N/A", +'Book Income Statement'!M61/L23)</f>
        <v>1.9000760374951917</v>
      </c>
      <c r="M24" s="900">
        <f>IF(M23&lt;=0, "N/A", +'Book Income Statement'!N61/M23)</f>
        <v>4.6930990558902268</v>
      </c>
      <c r="N24" s="900">
        <f>IF(N23&lt;=0, "N/A", +'Book Income Statement'!O61/N23)</f>
        <v>4.3512665963542121</v>
      </c>
      <c r="O24" s="900">
        <f>IF(O23&lt;=0, "N/A", +'Book Income Statement'!P61/O23)</f>
        <v>4.6644967146831391</v>
      </c>
      <c r="P24" s="900">
        <f>IF(P23&lt;=0, "N/A", +'Book Income Statement'!Q61/P23)</f>
        <v>4.9008547879136186</v>
      </c>
      <c r="Q24" s="900">
        <f>IF(Q23&lt;=0, "N/A", +'Book Income Statement'!R61/Q23)</f>
        <v>5.154063762561603</v>
      </c>
      <c r="R24" s="900">
        <f>IF(R23&lt;=0, "N/A", +'Book Income Statement'!S61/R23)</f>
        <v>5.4260590350185511</v>
      </c>
      <c r="S24" s="900">
        <f>IF(S23&lt;=0, "N/A", +'Book Income Statement'!T61/S23)</f>
        <v>3.7392926889763962</v>
      </c>
      <c r="T24" s="900">
        <f>IF(T23&lt;=0, "N/A", +'Book Income Statement'!U61/T23)</f>
        <v>3.4939435449941292</v>
      </c>
      <c r="U24" s="900">
        <f>IF(U23&lt;=0, "N/A", +'Book Income Statement'!V61/U23)</f>
        <v>3.1256991551521933</v>
      </c>
      <c r="V24" s="900">
        <f>IF(V23&lt;=0, "N/A", +'Book Income Statement'!W61/V23)</f>
        <v>3.014874207400978</v>
      </c>
      <c r="W24" s="900" t="str">
        <f>IF(W23&lt;=0, "N/A", +'Book Income Statement'!X61/W23)</f>
        <v>N/A</v>
      </c>
      <c r="X24" s="900" t="str">
        <f>IF(X23&lt;=0, "N/A", +'Book Income Statement'!Y61/X23)</f>
        <v>N/A</v>
      </c>
      <c r="Y24" s="900" t="str">
        <f>IF(Y23&lt;=0, "N/A", +'Book Income Statement'!Z61/Y23)</f>
        <v>N/A</v>
      </c>
      <c r="Z24" s="900" t="str">
        <f>IF(Z23&lt;=0, "N/A", +'Book Income Statement'!AA61/Z23)</f>
        <v>N/A</v>
      </c>
      <c r="AA24" s="901" t="str">
        <f>IF(AA23&lt;=0, "N/A", +'Book Income Statement'!AB61/AA23)</f>
        <v>N/A</v>
      </c>
      <c r="AB24" s="170"/>
    </row>
    <row r="25" spans="1:29" s="98" customFormat="1" ht="12.6" customHeight="1">
      <c r="A25" s="779" t="s">
        <v>109</v>
      </c>
      <c r="B25" s="447">
        <f>B29+B34</f>
        <v>53912</v>
      </c>
      <c r="C25" s="894">
        <f>(($B$29+$B$34)-(SUM('Debt Amortization'!$E$53:E53)))/($B$29+$B$34)</f>
        <v>0.91196765098679333</v>
      </c>
      <c r="D25" s="894">
        <f>(($B$29+$B$34)-(SUM('Debt Amortization'!$E$53:F53)))/($B$29+$B$34)</f>
        <v>0.82393530197358655</v>
      </c>
      <c r="E25" s="894">
        <f>(($B$29+$B$34)-(SUM('Debt Amortization'!$E$53:G53)))/($B$29+$B$34)</f>
        <v>0.7035094227630212</v>
      </c>
      <c r="F25" s="894">
        <f>(($B$29+$B$34)-(SUM('Debt Amortization'!$E$53:H53)))/($B$29+$B$34)</f>
        <v>0.55069001335509726</v>
      </c>
      <c r="G25" s="894">
        <f>(($B$29+$B$34)-(SUM('Debt Amortization'!$E$53:I53)))/($B$29+$B$34)</f>
        <v>0.46224402730375436</v>
      </c>
      <c r="H25" s="894">
        <f>(($B$29+$B$34)-(SUM('Debt Amortization'!$E$53:J53)))/($B$29+$B$34)</f>
        <v>0.37379804125241139</v>
      </c>
      <c r="I25" s="894">
        <f>(($B$29+$B$34)-(SUM('Debt Amortization'!$E$53:K53)))/($B$29+$B$34)</f>
        <v>0.27352259237275561</v>
      </c>
      <c r="J25" s="894">
        <f>(($B$29+$B$34)-(SUM('Debt Amortization'!$E$53:L53)))/($B$29+$B$34)</f>
        <v>0.17324714349309983</v>
      </c>
      <c r="K25" s="894">
        <f>(($B$29+$B$34)-(SUM('Debt Amortization'!$E$53:M53)))/($B$29+$B$34)</f>
        <v>8.1846342187268141E-3</v>
      </c>
      <c r="L25" s="894">
        <f>(($B$29+$B$34)-(SUM('Debt Amortization'!$E$53:N53)))/($B$29+$B$34)</f>
        <v>-0.20110086808131769</v>
      </c>
      <c r="M25" s="894">
        <f>(($B$29+$B$34)-(SUM('Debt Amortization'!$E$53:O53)))/($B$29+$B$34)</f>
        <v>-0.24841871939456892</v>
      </c>
      <c r="N25" s="894">
        <f>(($B$29+$B$34)-(SUM('Debt Amortization'!$E$53:P53)))/($B$29+$B$34)</f>
        <v>-0.30756603353613293</v>
      </c>
      <c r="O25" s="894">
        <f>(($B$29+$B$34)-(SUM('Debt Amortization'!$E$53:Q53)))/($B$29+$B$34)</f>
        <v>-0.36671334767769698</v>
      </c>
      <c r="P25" s="894">
        <f>(($B$29+$B$34)-(SUM('Debt Amortization'!$E$53:R53)))/($B$29+$B$34)</f>
        <v>-0.42586066181926102</v>
      </c>
      <c r="Q25" s="894">
        <f>(($B$29+$B$34)-(SUM('Debt Amortization'!$E$53:S53)))/($B$29+$B$34)</f>
        <v>-0.48500797596082507</v>
      </c>
      <c r="R25" s="894">
        <f>(($B$29+$B$34)-(SUM('Debt Amortization'!$E$53:T53)))/($B$29+$B$34)</f>
        <v>-0.54415529010238906</v>
      </c>
      <c r="S25" s="894">
        <f>(($B$29+$B$34)-(SUM('Debt Amortization'!$E$53:U53)))/($B$29+$B$34)</f>
        <v>-0.66244991838551714</v>
      </c>
      <c r="T25" s="894">
        <f>(($B$29+$B$34)-(SUM('Debt Amortization'!$E$53:V53)))/($B$29+$B$34)</f>
        <v>-0.80440347232527076</v>
      </c>
      <c r="U25" s="894">
        <f>(($B$29+$B$34)-(SUM('Debt Amortization'!$E$53:W53)))/($B$29+$B$34)</f>
        <v>-0.9818454147499629</v>
      </c>
      <c r="V25" s="894">
        <f>(($B$29+$B$34)-(SUM('Debt Amortization'!$E$53:X53)))/($B$29+$B$34)</f>
        <v>-1.1829462828312807</v>
      </c>
      <c r="W25" s="894">
        <f>(($B$29+$B$34)-(SUM('Debt Amortization'!$E$53:Y53)))/($B$29+$B$34)</f>
        <v>-1.1829462828312807</v>
      </c>
      <c r="X25" s="894">
        <f>(($B$29+$B$34)-(SUM('Debt Amortization'!$E$53:Z53)))/($B$29+$B$34)</f>
        <v>-1.1829462828312807</v>
      </c>
      <c r="Y25" s="894">
        <f>(($B$29+$B$34)-(SUM('Debt Amortization'!$E$53:AA53)))/($B$29+$B$34)</f>
        <v>-1.1829462828312807</v>
      </c>
      <c r="Z25" s="894">
        <f>(($B$29+$B$34)-(SUM('Debt Amortization'!$E$53:AB53)))/($B$29+$B$34)</f>
        <v>-1.1829462828312807</v>
      </c>
      <c r="AA25" s="894">
        <f>(($B$29+$B$34)-(SUM('Debt Amortization'!$E$53:AC53)))/($B$29+$B$34)</f>
        <v>-1.1829462828312807</v>
      </c>
      <c r="AB25" s="170"/>
    </row>
    <row r="26" spans="1:29" s="98" customFormat="1" ht="12.6" customHeight="1">
      <c r="A26" s="779" t="s">
        <v>147</v>
      </c>
      <c r="B26" s="447">
        <f>+'Project Assumptions'!C41</f>
        <v>0</v>
      </c>
      <c r="C26" s="447">
        <f>B26+'Cash Flow Statement'!D15-'Cash Flow Statement'!D16</f>
        <v>0</v>
      </c>
      <c r="D26" s="447">
        <f>C26+'Cash Flow Statement'!E15-'Cash Flow Statement'!E16</f>
        <v>0</v>
      </c>
      <c r="E26" s="447">
        <f>D26+'Cash Flow Statement'!F15-'Cash Flow Statement'!F16</f>
        <v>0</v>
      </c>
      <c r="F26" s="447">
        <f>E26+'Cash Flow Statement'!G15-'Cash Flow Statement'!G16</f>
        <v>0</v>
      </c>
      <c r="G26" s="447">
        <f>F26+'Cash Flow Statement'!H15-'Cash Flow Statement'!H16</f>
        <v>0</v>
      </c>
      <c r="H26" s="447">
        <f>G26+'Cash Flow Statement'!I15-'Cash Flow Statement'!I16</f>
        <v>0</v>
      </c>
      <c r="I26" s="447">
        <f>H26+'Cash Flow Statement'!J15-'Cash Flow Statement'!J16</f>
        <v>0</v>
      </c>
      <c r="J26" s="447">
        <f>I26+'Cash Flow Statement'!K15-'Cash Flow Statement'!K16</f>
        <v>0</v>
      </c>
      <c r="K26" s="447">
        <f>J26+'Cash Flow Statement'!L15-'Cash Flow Statement'!L16</f>
        <v>0</v>
      </c>
      <c r="L26" s="447">
        <f>K26+'Cash Flow Statement'!M15-'Cash Flow Statement'!M16</f>
        <v>0</v>
      </c>
      <c r="M26" s="447">
        <f>L26+'Cash Flow Statement'!N15-'Cash Flow Statement'!N16</f>
        <v>0</v>
      </c>
      <c r="N26" s="447">
        <f>M26+'Cash Flow Statement'!O15-'Cash Flow Statement'!O16</f>
        <v>0</v>
      </c>
      <c r="O26" s="447">
        <f>N26+'Cash Flow Statement'!P15-'Cash Flow Statement'!P16</f>
        <v>0</v>
      </c>
      <c r="P26" s="447">
        <f>O26+'Cash Flow Statement'!Q15-'Cash Flow Statement'!Q16</f>
        <v>0</v>
      </c>
      <c r="Q26" s="447">
        <f>P26+'Cash Flow Statement'!R15+'Cash Flow Statement'!R16</f>
        <v>0</v>
      </c>
      <c r="R26" s="447">
        <f>Q26+'Cash Flow Statement'!S15+'Cash Flow Statement'!S16</f>
        <v>0</v>
      </c>
      <c r="S26" s="447">
        <f>R26+'Cash Flow Statement'!T15+'Cash Flow Statement'!T16</f>
        <v>0</v>
      </c>
      <c r="T26" s="447">
        <f>S26+'Cash Flow Statement'!U15+'Cash Flow Statement'!U16</f>
        <v>0</v>
      </c>
      <c r="U26" s="447">
        <f>T26+'Cash Flow Statement'!V15+'Cash Flow Statement'!V16</f>
        <v>0</v>
      </c>
      <c r="V26" s="447">
        <f>U26+'Cash Flow Statement'!W15+'Cash Flow Statement'!W16</f>
        <v>0</v>
      </c>
      <c r="W26" s="447">
        <f>V26+'Cash Flow Statement'!X15+'Cash Flow Statement'!X16</f>
        <v>0</v>
      </c>
      <c r="X26" s="447">
        <f>W26+'Cash Flow Statement'!Y15+'Cash Flow Statement'!Y16</f>
        <v>0</v>
      </c>
      <c r="Y26" s="447">
        <f>X26+'Cash Flow Statement'!Z15+'Cash Flow Statement'!Z16</f>
        <v>0</v>
      </c>
      <c r="Z26" s="447">
        <f>Y26+'Cash Flow Statement'!AA15+'Cash Flow Statement'!AA16</f>
        <v>0</v>
      </c>
      <c r="AA26" s="893">
        <f>Z26+'Cash Flow Statement'!AB15+'Cash Flow Statement'!AB16</f>
        <v>0</v>
      </c>
      <c r="AB26" s="170"/>
    </row>
    <row r="27" spans="1:29" s="115" customFormat="1" ht="12.6" customHeight="1">
      <c r="A27" s="779" t="str">
        <f>"  Debt Reserve Interest Income @ "&amp;'Project Assumptions'!I51*100&amp;"%"</f>
        <v xml:space="preserve">  Debt Reserve Interest Income @ 0%</v>
      </c>
      <c r="B27" s="839"/>
      <c r="C27" s="447">
        <f>C26*'Project Assumptions'!$I$51*(SUM('Book Income Statement'!D6:D8)/12)</f>
        <v>0</v>
      </c>
      <c r="D27" s="447">
        <f>D26*'Project Assumptions'!$I$51*(SUM('Book Income Statement'!E6:E8)/12)</f>
        <v>0</v>
      </c>
      <c r="E27" s="447">
        <f>E26*'Project Assumptions'!$I$51*(SUM('Book Income Statement'!F6:F8)/12)</f>
        <v>0</v>
      </c>
      <c r="F27" s="447">
        <f>F26*'Project Assumptions'!$I$51*(SUM('Book Income Statement'!G6:G8)/12)</f>
        <v>0</v>
      </c>
      <c r="G27" s="447">
        <f>G26*'Project Assumptions'!$I$51*(SUM('Book Income Statement'!H6:H8)/12)</f>
        <v>0</v>
      </c>
      <c r="H27" s="447">
        <f>H26*'Project Assumptions'!$I$51*(SUM('Book Income Statement'!I6:I8)/12)</f>
        <v>0</v>
      </c>
      <c r="I27" s="447">
        <f>I26*'Project Assumptions'!$I$51*(SUM('Book Income Statement'!J6:J8)/12)</f>
        <v>0</v>
      </c>
      <c r="J27" s="447">
        <f>J26*'Project Assumptions'!$I$51*(SUM('Book Income Statement'!K6:K8)/12)</f>
        <v>0</v>
      </c>
      <c r="K27" s="447">
        <f>K26*'Project Assumptions'!$I$51*(SUM('Book Income Statement'!L6:L8)/12)</f>
        <v>0</v>
      </c>
      <c r="L27" s="447">
        <f>L26*'Project Assumptions'!$I$51*(SUM('Book Income Statement'!M6:M8)/12)</f>
        <v>0</v>
      </c>
      <c r="M27" s="447">
        <f>M26*'Project Assumptions'!$I$51*(SUM('Book Income Statement'!N6:N8)/12)</f>
        <v>0</v>
      </c>
      <c r="N27" s="447">
        <f>N26*'Project Assumptions'!$I$51*(SUM('Book Income Statement'!O6:O8)/12)</f>
        <v>0</v>
      </c>
      <c r="O27" s="447">
        <f>O26*'Project Assumptions'!$I$51*(SUM('Book Income Statement'!P6:P8)/12)</f>
        <v>0</v>
      </c>
      <c r="P27" s="447">
        <f>P26*'Project Assumptions'!$I$51*(SUM('Book Income Statement'!Q6:Q8)/12)</f>
        <v>0</v>
      </c>
      <c r="Q27" s="447">
        <f>Q26*'Project Assumptions'!$I$51*(SUM('Book Income Statement'!R6:R8)/12)</f>
        <v>0</v>
      </c>
      <c r="R27" s="447">
        <f>R26*'Project Assumptions'!$I$51*(SUM('Book Income Statement'!S6:S8)/12)</f>
        <v>0</v>
      </c>
      <c r="S27" s="447">
        <f>S26*'Project Assumptions'!$I$51*(SUM('Book Income Statement'!T6:T8)/12)</f>
        <v>0</v>
      </c>
      <c r="T27" s="447">
        <f>T26*'Project Assumptions'!$I$51*(SUM('Book Income Statement'!U6:U8)/12)</f>
        <v>0</v>
      </c>
      <c r="U27" s="447">
        <f>U26*'Project Assumptions'!$I$51*(SUM('Book Income Statement'!V6:V8)/12)</f>
        <v>0</v>
      </c>
      <c r="V27" s="447">
        <f>V26*'Project Assumptions'!$I$51*(SUM('Book Income Statement'!W6:W8)/12)</f>
        <v>0</v>
      </c>
      <c r="W27" s="447">
        <f>W26*'Project Assumptions'!$I$51*(SUM('Book Income Statement'!X6:X8)/12)</f>
        <v>0</v>
      </c>
      <c r="X27" s="447">
        <f>X26*'Project Assumptions'!$I$51*(SUM('Book Income Statement'!Y6:Y8)/12)</f>
        <v>0</v>
      </c>
      <c r="Y27" s="447">
        <f>Y26*'Project Assumptions'!$I$51*(SUM('Book Income Statement'!Z6:Z8)/12)</f>
        <v>0</v>
      </c>
      <c r="Z27" s="447">
        <f>Z26*'Project Assumptions'!$I$51*(SUM('Book Income Statement'!AA6:AA8)/12)</f>
        <v>0</v>
      </c>
      <c r="AA27" s="893">
        <f>AA26*'Project Assumptions'!$I$51*(SUM('Book Income Statement'!AB6:AB8)/12)</f>
        <v>0</v>
      </c>
      <c r="AB27" s="195"/>
    </row>
    <row r="28" spans="1:29" s="98" customFormat="1" ht="12.6" customHeight="1">
      <c r="A28" s="779"/>
      <c r="B28" s="179"/>
      <c r="C28" s="902"/>
      <c r="D28" s="902"/>
      <c r="E28" s="902"/>
      <c r="F28" s="902"/>
      <c r="G28" s="902"/>
      <c r="H28" s="902"/>
      <c r="I28" s="902"/>
      <c r="J28" s="902"/>
      <c r="K28" s="902"/>
      <c r="L28" s="902"/>
      <c r="M28" s="902"/>
      <c r="N28" s="902"/>
      <c r="O28" s="902"/>
      <c r="P28" s="902"/>
      <c r="Q28" s="902"/>
      <c r="R28" s="902"/>
      <c r="S28" s="902"/>
      <c r="T28" s="902"/>
      <c r="U28" s="902"/>
      <c r="V28" s="902"/>
      <c r="W28" s="902"/>
      <c r="X28" s="902"/>
      <c r="Y28" s="902"/>
      <c r="Z28" s="902"/>
      <c r="AA28" s="903"/>
      <c r="AB28" s="170"/>
    </row>
    <row r="29" spans="1:29" s="98" customFormat="1" ht="12.6" customHeight="1">
      <c r="A29" s="795" t="s">
        <v>108</v>
      </c>
      <c r="B29" s="447">
        <f>IF('Project Assumptions'!$I$35="Normal",'Debt Amortization'!B19,'Debt Amortization'!C71)</f>
        <v>18984</v>
      </c>
      <c r="C29" s="902"/>
      <c r="D29" s="902"/>
      <c r="E29" s="902"/>
      <c r="F29" s="902"/>
      <c r="G29" s="902"/>
      <c r="H29" s="902"/>
      <c r="I29" s="902"/>
      <c r="J29" s="902"/>
      <c r="K29" s="902"/>
      <c r="L29" s="902"/>
      <c r="M29" s="902"/>
      <c r="N29" s="902"/>
      <c r="O29" s="902"/>
      <c r="P29" s="902"/>
      <c r="Q29" s="902"/>
      <c r="R29" s="902"/>
      <c r="S29" s="902"/>
      <c r="T29" s="902"/>
      <c r="U29" s="902"/>
      <c r="V29" s="902"/>
      <c r="W29" s="902"/>
      <c r="X29" s="902"/>
      <c r="Y29" s="902"/>
      <c r="Z29" s="902"/>
      <c r="AA29" s="903"/>
      <c r="AB29" s="170"/>
    </row>
    <row r="30" spans="1:29" s="98" customFormat="1" ht="12.6" customHeight="1">
      <c r="A30" s="779" t="s">
        <v>110</v>
      </c>
      <c r="B30" s="179"/>
      <c r="C30" s="447">
        <f>IF('Project Assumptions'!$I$35="Normal",'Debt Amortization'!E29,'Debt Amortization'!E74)</f>
        <v>6023.6232</v>
      </c>
      <c r="D30" s="447">
        <f>IF('Project Assumptions'!$I$35="Normal",'Debt Amortization'!F29,'Debt Amortization'!F74)</f>
        <v>5704.2173999999995</v>
      </c>
      <c r="E30" s="447">
        <f>IF('Project Assumptions'!$I$35="Normal",'Debt Amortization'!G29,'Debt Amortization'!G74)</f>
        <v>5384.8116</v>
      </c>
      <c r="F30" s="447">
        <f>IF('Project Assumptions'!$I$35="Normal",'Debt Amortization'!H29,'Debt Amortization'!H74)</f>
        <v>5065.4058000000005</v>
      </c>
      <c r="G30" s="447">
        <f>IF('Project Assumptions'!$I$35="Normal",'Debt Amortization'!I29,'Debt Amortization'!I74)</f>
        <v>0</v>
      </c>
      <c r="H30" s="447">
        <f>IF('Project Assumptions'!$I$35="Normal",'Debt Amortization'!J29,'Debt Amortization'!J74)</f>
        <v>0</v>
      </c>
      <c r="I30" s="447">
        <f>IF('Project Assumptions'!$I$35="Normal",'Debt Amortization'!K29,'Debt Amortization'!K74)</f>
        <v>0</v>
      </c>
      <c r="J30" s="447">
        <f>IF('Project Assumptions'!$I$35="Normal",'Debt Amortization'!L29,'Debt Amortization'!L74)</f>
        <v>0</v>
      </c>
      <c r="K30" s="447">
        <f>IF('Project Assumptions'!$I$35="Normal",'Debt Amortization'!M29,'Debt Amortization'!M74)</f>
        <v>0</v>
      </c>
      <c r="L30" s="447">
        <f>IF('Project Assumptions'!$I$35="Normal",'Debt Amortization'!N29,'Debt Amortization'!N74)</f>
        <v>0</v>
      </c>
      <c r="M30" s="447">
        <f>IF('Project Assumptions'!$I$35="Normal",'Debt Amortization'!O29,'Debt Amortization'!O74)</f>
        <v>0</v>
      </c>
      <c r="N30" s="447">
        <f>IF('Project Assumptions'!$I$35="Normal",'Debt Amortization'!P29,'Debt Amortization'!P74)</f>
        <v>0</v>
      </c>
      <c r="O30" s="447">
        <f>IF('Project Assumptions'!$I$35="Normal",'Debt Amortization'!Q29,'Debt Amortization'!Q74)</f>
        <v>0</v>
      </c>
      <c r="P30" s="447">
        <f>IF('Project Assumptions'!$I$35="Normal",'Debt Amortization'!R29,'Debt Amortization'!R74)</f>
        <v>0</v>
      </c>
      <c r="Q30" s="447">
        <f>IF('Project Assumptions'!$I$35="Normal",'Debt Amortization'!S29,'Debt Amortization'!S74)</f>
        <v>0</v>
      </c>
      <c r="R30" s="447">
        <f>IF('Project Assumptions'!$I$35="Normal",'Debt Amortization'!T29,'Debt Amortization'!T74)</f>
        <v>0</v>
      </c>
      <c r="S30" s="447">
        <f>IF('Project Assumptions'!$I$35="Normal",'Debt Amortization'!U29,'Debt Amortization'!U74)</f>
        <v>0</v>
      </c>
      <c r="T30" s="447">
        <f>IF('Project Assumptions'!$I$35="Normal",'Debt Amortization'!V29,'Debt Amortization'!V74)</f>
        <v>0</v>
      </c>
      <c r="U30" s="447">
        <f>IF('Project Assumptions'!$I$35="Normal",'Debt Amortization'!W29,'Debt Amortization'!W74)</f>
        <v>0</v>
      </c>
      <c r="V30" s="447">
        <f>IF('Project Assumptions'!$I$35="Normal",'Debt Amortization'!X29,'Debt Amortization'!X74)</f>
        <v>0</v>
      </c>
      <c r="W30" s="447">
        <f>IF('Project Assumptions'!$I$35="Normal",'Debt Amortization'!Y29,'Debt Amortization'!Y74)</f>
        <v>0</v>
      </c>
      <c r="X30" s="447">
        <f>IF('Project Assumptions'!$I$35="Normal",'Debt Amortization'!Z29,'Debt Amortization'!Z74)</f>
        <v>0</v>
      </c>
      <c r="Y30" s="447">
        <f>IF('Project Assumptions'!$I$35="Normal",'Debt Amortization'!AA29,'Debt Amortization'!AA74)</f>
        <v>0</v>
      </c>
      <c r="Z30" s="447">
        <f>IF('Project Assumptions'!$I$35="Normal",'Debt Amortization'!AB29,'Debt Amortization'!AB74)</f>
        <v>0</v>
      </c>
      <c r="AA30" s="447">
        <f>IF('Project Assumptions'!$I$35="Normal",'Debt Amortization'!AC29,'Debt Amortization'!AC74)</f>
        <v>0</v>
      </c>
      <c r="AB30" s="170"/>
    </row>
    <row r="31" spans="1:29" s="98" customFormat="1" ht="12.6" customHeight="1">
      <c r="A31" s="779" t="s">
        <v>264</v>
      </c>
      <c r="B31" s="179"/>
      <c r="C31" s="904">
        <f>IF(C30&lt;1, "N/A",'Book Income Statement'!D61/C30)</f>
        <v>1.3389477153004166</v>
      </c>
      <c r="D31" s="904">
        <f>IF(D30&lt;1, "N/A", +'Book Income Statement'!E61/D30)</f>
        <v>3.3721415123415852</v>
      </c>
      <c r="E31" s="904">
        <f>IF(E30&lt;1, "N/A", +'Book Income Statement'!F61/E30)</f>
        <v>3.6196215789128092</v>
      </c>
      <c r="F31" s="904">
        <f>IF(F30&lt;1, "N/A", +'Book Income Statement'!G61/F30)</f>
        <v>3.8387577900093084</v>
      </c>
      <c r="G31" s="904" t="str">
        <f>IF(G30&lt;1, "N/A", +'Book Income Statement'!H61/G30)</f>
        <v>N/A</v>
      </c>
      <c r="H31" s="904" t="str">
        <f>IF(H30&lt;1, "N/A", +'Book Income Statement'!I61/H30)</f>
        <v>N/A</v>
      </c>
      <c r="I31" s="904" t="str">
        <f>IF(I30&lt;1, "N/A", +'Book Income Statement'!J61/I30)</f>
        <v>N/A</v>
      </c>
      <c r="J31" s="904" t="str">
        <f>IF(J30&lt;1, "N/A", +'Book Income Statement'!K61/J30)</f>
        <v>N/A</v>
      </c>
      <c r="K31" s="904" t="str">
        <f>IF(K30&lt;1, "N/A", +'Book Income Statement'!L61/K30)</f>
        <v>N/A</v>
      </c>
      <c r="L31" s="904" t="str">
        <f>IF(L30&lt;1, "N/A", +'Book Income Statement'!M61/L30)</f>
        <v>N/A</v>
      </c>
      <c r="M31" s="904" t="str">
        <f>IF(M30&lt;1, "N/A", +'Book Income Statement'!N61/M30)</f>
        <v>N/A</v>
      </c>
      <c r="N31" s="904" t="str">
        <f>IF(N30&lt;1, "N/A", +'Book Income Statement'!O61/N30)</f>
        <v>N/A</v>
      </c>
      <c r="O31" s="904" t="str">
        <f>IF(O30&lt;1, "N/A", +'Book Income Statement'!P61/O30)</f>
        <v>N/A</v>
      </c>
      <c r="P31" s="904" t="str">
        <f>IF(P30&lt;1, "N/A", +'Book Income Statement'!Q61/P30)</f>
        <v>N/A</v>
      </c>
      <c r="Q31" s="904" t="str">
        <f>IF(Q30&lt;1, "N/A", +'Book Income Statement'!R61/Q30)</f>
        <v>N/A</v>
      </c>
      <c r="R31" s="904" t="str">
        <f>IF(R30&lt;1, "N/A", +'Book Income Statement'!S61/R30)</f>
        <v>N/A</v>
      </c>
      <c r="S31" s="904" t="str">
        <f>IF(S30&lt;1, "N/A", +'Book Income Statement'!T61/S30)</f>
        <v>N/A</v>
      </c>
      <c r="T31" s="904" t="str">
        <f>IF(T30&lt;1, "N/A", +'Book Income Statement'!U61/T30)</f>
        <v>N/A</v>
      </c>
      <c r="U31" s="904" t="str">
        <f>IF(U30&lt;1, "N/A", +'Book Income Statement'!V61/U30)</f>
        <v>N/A</v>
      </c>
      <c r="V31" s="904" t="str">
        <f>IF(V30&lt;1, "N/A", +'Book Income Statement'!W61/V30)</f>
        <v>N/A</v>
      </c>
      <c r="W31" s="904" t="str">
        <f>IF(W30&lt;1, "N/A", +'Book Income Statement'!X61/W30)</f>
        <v>N/A</v>
      </c>
      <c r="X31" s="904" t="str">
        <f>IF(X30&lt;1, "N/A", +'Book Income Statement'!Y61/X30)</f>
        <v>N/A</v>
      </c>
      <c r="Y31" s="904" t="str">
        <f>IF(Y30&lt;1, "N/A", +'Book Income Statement'!Z61/Y30)</f>
        <v>N/A</v>
      </c>
      <c r="Z31" s="904" t="str">
        <f>IF(Z30&lt;1, "N/A", +'Book Income Statement'!AA61/Z30)</f>
        <v>N/A</v>
      </c>
      <c r="AA31" s="905" t="str">
        <f>IF(AA30&lt;1, "N/A", +'Book Income Statement'!AB61/AA30)</f>
        <v>N/A</v>
      </c>
      <c r="AB31" s="170"/>
    </row>
    <row r="32" spans="1:29" s="98" customFormat="1" ht="12.6" customHeight="1">
      <c r="A32" s="779" t="s">
        <v>109</v>
      </c>
      <c r="B32" s="179"/>
      <c r="C32" s="898">
        <f>($B$29-IF('Project Assumptions'!$I$35="Normal",SUM('Debt Amortization'!$E$28:E28),SUM('Debt Amortization'!$E$88:E88)))/$B$29</f>
        <v>1</v>
      </c>
      <c r="D32" s="898">
        <f>($B$29-IF('Project Assumptions'!$I$35="Normal",SUM('Debt Amortization'!$E$28:F28),SUM('Debt Amortization'!$E$88:F88)))/$B$29</f>
        <v>1</v>
      </c>
      <c r="E32" s="898">
        <f>($B$29-IF('Project Assumptions'!$I$35="Normal",SUM('Debt Amortization'!$E$28:G28),SUM('Debt Amortization'!$E$88:G88)))/$B$29</f>
        <v>0.90800674252001679</v>
      </c>
      <c r="F32" s="898">
        <f>($B$29-IF('Project Assumptions'!$I$35="Normal",SUM('Debt Amortization'!$E$28:H28),SUM('Debt Amortization'!$E$88:H88)))/$B$29</f>
        <v>0.72402022756005058</v>
      </c>
      <c r="G32" s="898">
        <f>($B$29-IF('Project Assumptions'!$I$35="Normal",SUM('Debt Amortization'!$E$28:I28),SUM('Debt Amortization'!$E$88:I88)))/$B$29</f>
        <v>0.54003371260008426</v>
      </c>
      <c r="H32" s="898">
        <f>($B$29-IF('Project Assumptions'!$I$35="Normal",SUM('Debt Amortization'!$E$28:J28),SUM('Debt Amortization'!$E$88:J88)))/$B$29</f>
        <v>0.35604719764011805</v>
      </c>
      <c r="I32" s="898">
        <f>($B$29-IF('Project Assumptions'!$I$35="Normal",SUM('Debt Amortization'!$E$28:K28),SUM('Debt Amortization'!$E$88:K88)))/$B$29</f>
        <v>0.17206068268015179</v>
      </c>
      <c r="J32" s="898">
        <f>($B$29-IF('Project Assumptions'!$I$35="Normal",SUM('Debt Amortization'!$E$28:L28),SUM('Debt Amortization'!$E$88:L88)))/$B$29</f>
        <v>-1.1925832279814466E-2</v>
      </c>
      <c r="K32" s="898">
        <f>($B$29-IF('Project Assumptions'!$I$35="Normal",SUM('Debt Amortization'!$E$28:M28),SUM('Debt Amortization'!$E$88:M88)))/$B$29</f>
        <v>-0.37989886219974717</v>
      </c>
      <c r="L32" s="898">
        <f>($B$29-IF('Project Assumptions'!$I$35="Normal",SUM('Debt Amortization'!$E$28:N28),SUM('Debt Amortization'!$E$88:N88)))/$B$29</f>
        <v>-0.83986514959966285</v>
      </c>
      <c r="M32" s="898">
        <f>($B$29-IF('Project Assumptions'!$I$35="Normal",SUM('Debt Amortization'!$E$28:O28),SUM('Debt Amortization'!$E$88:O88)))/$B$29</f>
        <v>-0.83986514959966285</v>
      </c>
      <c r="N32" s="898">
        <f>($B$29-IF('Project Assumptions'!$I$35="Normal",SUM('Debt Amortization'!$E$28:P28),SUM('Debt Amortization'!$E$88:P88)))/$B$29</f>
        <v>-0.83986514959966285</v>
      </c>
      <c r="O32" s="898">
        <f>($B$29-IF('Project Assumptions'!$I$35="Normal",SUM('Debt Amortization'!$E$28:Q28),SUM('Debt Amortization'!$E$88:Q88)))/$B$29</f>
        <v>-0.83986514959966285</v>
      </c>
      <c r="P32" s="898">
        <f>($B$29-IF('Project Assumptions'!$I$35="Normal",SUM('Debt Amortization'!$E$28:R28),SUM('Debt Amortization'!$E$88:R88)))/$B$29</f>
        <v>-0.83986514959966285</v>
      </c>
      <c r="Q32" s="898">
        <f>($B$29-IF('Project Assumptions'!$I$35="Normal",SUM('Debt Amortization'!$E$28:S28),SUM('Debt Amortization'!$E$88:S88)))/$B$29</f>
        <v>-0.83986514959966285</v>
      </c>
      <c r="R32" s="898">
        <f>($B$29-IF('Project Assumptions'!$I$35="Normal",SUM('Debt Amortization'!$E$28:T28),SUM('Debt Amortization'!$E$88:T88)))/$B$29</f>
        <v>-0.83986514959966285</v>
      </c>
      <c r="S32" s="898">
        <f>($B$29-IF('Project Assumptions'!$I$35="Normal",SUM('Debt Amortization'!$E$28:U28),SUM('Debt Amortization'!$E$88:U88)))/$B$29</f>
        <v>-0.83986514959966285</v>
      </c>
      <c r="T32" s="898">
        <f>($B$29-IF('Project Assumptions'!$I$35="Normal",SUM('Debt Amortization'!$E$28:V28),SUM('Debt Amortization'!$E$88:V88)))/$B$29</f>
        <v>-0.83986514959966285</v>
      </c>
      <c r="U32" s="898">
        <f>($B$29-IF('Project Assumptions'!$I$35="Normal",SUM('Debt Amortization'!$E$28:W28),SUM('Debt Amortization'!$E$88:W88)))/$B$29</f>
        <v>-0.83986514959966285</v>
      </c>
      <c r="V32" s="898">
        <f>($B$29-IF('Project Assumptions'!$I$35="Normal",SUM('Debt Amortization'!$E$28:X28),SUM('Debt Amortization'!$E$88:X88)))/$B$29</f>
        <v>-0.83986514959966285</v>
      </c>
      <c r="W32" s="898">
        <f>($B$29-IF('Project Assumptions'!$I$35="Normal",SUM('Debt Amortization'!$E$28:Y28),SUM('Debt Amortization'!$E$88:Y88)))/$B$29</f>
        <v>-0.83986514959966285</v>
      </c>
      <c r="X32" s="898">
        <f>($B$29-IF('Project Assumptions'!$I$35="Normal",SUM('Debt Amortization'!$E$28:Z28),SUM('Debt Amortization'!$E$88:Z88)))/$B$29</f>
        <v>-0.83986514959966285</v>
      </c>
      <c r="Y32" s="898">
        <f>($B$29-IF('Project Assumptions'!$I$35="Normal",SUM('Debt Amortization'!$E$28:AA28),SUM('Debt Amortization'!$E$88:AA88)))/$B$29</f>
        <v>-0.83986514959966285</v>
      </c>
      <c r="Z32" s="898">
        <f>($B$29-IF('Project Assumptions'!$I$35="Normal",SUM('Debt Amortization'!$E$28:AB28),SUM('Debt Amortization'!$E$88:AB88)))/$B$29</f>
        <v>-0.83986514959966285</v>
      </c>
      <c r="AA32" s="898">
        <f>($B$29-IF('Project Assumptions'!$I$35="Normal",SUM('Debt Amortization'!$E$28:AC28),SUM('Debt Amortization'!$E$88:AC88)))/$B$29</f>
        <v>-0.83986514959966285</v>
      </c>
      <c r="AB32" s="170"/>
    </row>
    <row r="33" spans="1:28" s="98" customFormat="1" ht="12.6" customHeight="1">
      <c r="A33" s="779"/>
      <c r="B33" s="179"/>
      <c r="C33" s="898"/>
      <c r="D33" s="898"/>
      <c r="E33" s="898"/>
      <c r="F33" s="898"/>
      <c r="G33" s="898"/>
      <c r="H33" s="898"/>
      <c r="I33" s="898"/>
      <c r="J33" s="898"/>
      <c r="K33" s="898"/>
      <c r="L33" s="898"/>
      <c r="M33" s="898"/>
      <c r="N33" s="898"/>
      <c r="O33" s="898"/>
      <c r="P33" s="898"/>
      <c r="Q33" s="898"/>
      <c r="R33" s="898"/>
      <c r="S33" s="898"/>
      <c r="T33" s="898"/>
      <c r="U33" s="898"/>
      <c r="V33" s="898"/>
      <c r="W33" s="898"/>
      <c r="X33" s="898"/>
      <c r="Y33" s="898"/>
      <c r="Z33" s="898"/>
      <c r="AA33" s="906"/>
      <c r="AB33" s="170"/>
    </row>
    <row r="34" spans="1:28" s="98" customFormat="1" ht="12.6" customHeight="1">
      <c r="A34" s="795" t="s">
        <v>111</v>
      </c>
      <c r="B34" s="447">
        <f>IF('Project Assumptions'!$I$35="Normal",'Debt Amortization'!B20,'Debt Amortization'!C86)</f>
        <v>34928</v>
      </c>
      <c r="C34" s="902"/>
      <c r="D34" s="902"/>
      <c r="E34" s="902"/>
      <c r="F34" s="902"/>
      <c r="G34" s="902"/>
      <c r="H34" s="902"/>
      <c r="I34" s="902"/>
      <c r="J34" s="902"/>
      <c r="K34" s="902"/>
      <c r="L34" s="902"/>
      <c r="M34" s="902"/>
      <c r="N34" s="902"/>
      <c r="O34" s="902"/>
      <c r="P34" s="902"/>
      <c r="Q34" s="902"/>
      <c r="R34" s="902"/>
      <c r="S34" s="902"/>
      <c r="T34" s="902"/>
      <c r="U34" s="902"/>
      <c r="V34" s="902"/>
      <c r="W34" s="902"/>
      <c r="X34" s="902"/>
      <c r="Y34" s="902"/>
      <c r="Z34" s="902"/>
      <c r="AA34" s="903"/>
      <c r="AB34" s="170"/>
    </row>
    <row r="35" spans="1:28" s="98" customFormat="1" ht="12.6" customHeight="1">
      <c r="A35" s="779" t="s">
        <v>110</v>
      </c>
      <c r="B35" s="179"/>
      <c r="C35" s="447">
        <f>IF('Project Assumptions'!$I$35="Normal",'Debt Amortization'!E37,'Debt Amortization'!E89)</f>
        <v>2644.0496000000003</v>
      </c>
      <c r="D35" s="447">
        <f>IF('Project Assumptions'!$I$35="Normal",'Debt Amortization'!F37,'Debt Amortization'!F89)</f>
        <v>2644.0496000000003</v>
      </c>
      <c r="E35" s="447">
        <f>IF('Project Assumptions'!$I$35="Normal",'Debt Amortization'!G37,'Debt Amortization'!G89)</f>
        <v>4390.4495999999999</v>
      </c>
      <c r="F35" s="447">
        <f>IF('Project Assumptions'!$I$35="Normal",'Debt Amortization'!H37,'Debt Amortization'!H89)</f>
        <v>6004.6471199999996</v>
      </c>
      <c r="G35" s="447">
        <f>IF('Project Assumptions'!$I$35="Normal",'Debt Amortization'!I37,'Debt Amortization'!I89)</f>
        <v>5740.2421599999998</v>
      </c>
      <c r="H35" s="447">
        <f>IF('Project Assumptions'!$I$35="Normal",'Debt Amortization'!J37,'Debt Amortization'!J89)</f>
        <v>5475.8371999999999</v>
      </c>
      <c r="I35" s="447">
        <f>IF('Project Assumptions'!$I$35="Normal",'Debt Amortization'!K37,'Debt Amortization'!K89)</f>
        <v>5211.4322400000001</v>
      </c>
      <c r="J35" s="447">
        <f>IF('Project Assumptions'!$I$35="Normal",'Debt Amortization'!L37,'Debt Amortization'!L89)</f>
        <v>4947.0272800000002</v>
      </c>
      <c r="K35" s="447">
        <f>IF('Project Assumptions'!$I$35="Normal",'Debt Amortization'!M37,'Debt Amortization'!M89)</f>
        <v>8175.4223200000006</v>
      </c>
      <c r="L35" s="447">
        <f>IF('Project Assumptions'!$I$35="Normal",'Debt Amortization'!N37,'Debt Amortization'!N89)</f>
        <v>9393.0123999999996</v>
      </c>
      <c r="M35" s="447">
        <f>IF('Project Assumptions'!$I$35="Normal",'Debt Amortization'!O37,'Debt Amortization'!O89)</f>
        <v>0</v>
      </c>
      <c r="N35" s="447">
        <f>IF('Project Assumptions'!$I$35="Normal",'Debt Amortization'!P37,'Debt Amortization'!P89)</f>
        <v>0</v>
      </c>
      <c r="O35" s="447">
        <f>IF('Project Assumptions'!$I$35="Normal",'Debt Amortization'!Q37,'Debt Amortization'!Q89)</f>
        <v>0</v>
      </c>
      <c r="P35" s="447">
        <f>IF('Project Assumptions'!$I$35="Normal",'Debt Amortization'!R37,'Debt Amortization'!R89)</f>
        <v>0</v>
      </c>
      <c r="Q35" s="447">
        <f>IF('Project Assumptions'!$I$35="Normal",'Debt Amortization'!S37,'Debt Amortization'!S89)</f>
        <v>0</v>
      </c>
      <c r="R35" s="447">
        <f>IF('Project Assumptions'!$I$35="Normal",'Debt Amortization'!T37,'Debt Amortization'!T89)</f>
        <v>0</v>
      </c>
      <c r="S35" s="447">
        <f>IF('Project Assumptions'!$I$35="Normal",'Debt Amortization'!U37,'Debt Amortization'!U89)</f>
        <v>0</v>
      </c>
      <c r="T35" s="447">
        <f>IF('Project Assumptions'!$I$35="Normal",'Debt Amortization'!V37,'Debt Amortization'!V89)</f>
        <v>0</v>
      </c>
      <c r="U35" s="447">
        <f>IF('Project Assumptions'!$I$35="Normal",'Debt Amortization'!W37,'Debt Amortization'!W89)</f>
        <v>0</v>
      </c>
      <c r="V35" s="447">
        <f>IF('Project Assumptions'!$I$35="Normal",'Debt Amortization'!X37,'Debt Amortization'!X89)</f>
        <v>0</v>
      </c>
      <c r="W35" s="447">
        <f>IF('Project Assumptions'!$I$35="Normal",'Debt Amortization'!Y37,'Debt Amortization'!Y89)</f>
        <v>0</v>
      </c>
      <c r="X35" s="447">
        <f>IF('Project Assumptions'!$I$35="Normal",'Debt Amortization'!Z37,'Debt Amortization'!Z89)</f>
        <v>0</v>
      </c>
      <c r="Y35" s="447">
        <f>IF('Project Assumptions'!$I$35="Normal",'Debt Amortization'!AA37,'Debt Amortization'!AA89)</f>
        <v>0</v>
      </c>
      <c r="Z35" s="447">
        <f>IF('Project Assumptions'!$I$35="Normal",'Debt Amortization'!AB37,'Debt Amortization'!AB89)</f>
        <v>0</v>
      </c>
      <c r="AA35" s="447">
        <f>IF('Project Assumptions'!$I$35="Normal",'Debt Amortization'!AC37,'Debt Amortization'!AC89)</f>
        <v>0</v>
      </c>
      <c r="AB35" s="170"/>
    </row>
    <row r="36" spans="1:28" s="98" customFormat="1" ht="12.6" customHeight="1">
      <c r="A36" s="779" t="s">
        <v>264</v>
      </c>
      <c r="B36" s="179"/>
      <c r="C36" s="904">
        <f>IF(C35&lt;1, "N/A",'Book Income Statement'!D61/C35)</f>
        <v>3.0503650617865046</v>
      </c>
      <c r="D36" s="904">
        <f>IF(D35&lt;1, "N/A",'Book Income Statement'!E61/D35)</f>
        <v>7.2749876893236722</v>
      </c>
      <c r="E36" s="904">
        <f>IF(E35&lt;1, "N/A",'Book Income Statement'!F61/E35)</f>
        <v>4.4394041707573662</v>
      </c>
      <c r="F36" s="904">
        <f>IF(F35&lt;1, "N/A",'Book Income Statement'!G61/F35)</f>
        <v>3.2383028653827597</v>
      </c>
      <c r="G36" s="904">
        <f>IF(G35&lt;1, "N/A",'Book Income Statement'!H61/G35)</f>
        <v>4.3673756317562873</v>
      </c>
      <c r="H36" s="904">
        <f>IF(H35&lt;1, "N/A",'Book Income Statement'!I61/H35)</f>
        <v>5.3780275339783588</v>
      </c>
      <c r="I36" s="904">
        <f>IF(I35&lt;1, "N/A",'Book Income Statement'!J61/I35)</f>
        <v>5.7112369105443266</v>
      </c>
      <c r="J36" s="904">
        <f>IF(J35&lt;1, "N/A",'Book Income Statement'!K61/J35)</f>
        <v>6.0794186440786895</v>
      </c>
      <c r="K36" s="904">
        <f>IF(K35&lt;1, "N/A",'Book Income Statement'!L61/K35)</f>
        <v>3.7928192189099152</v>
      </c>
      <c r="L36" s="904">
        <f>IF(L35&lt;1, "N/A",'Book Income Statement'!M61/L35)</f>
        <v>3.334206073490007</v>
      </c>
      <c r="M36" s="904" t="str">
        <f>IF(M35&lt;1, "N/A",'Book Income Statement'!N61/M35)</f>
        <v>N/A</v>
      </c>
      <c r="N36" s="904" t="str">
        <f>IF(N35&lt;1, "N/A",'Book Income Statement'!O61/N35)</f>
        <v>N/A</v>
      </c>
      <c r="O36" s="904" t="str">
        <f>IF(O35&lt;1, "N/A",'Book Income Statement'!P61/O35)</f>
        <v>N/A</v>
      </c>
      <c r="P36" s="904" t="str">
        <f>IF(P35&lt;1, "N/A",'Book Income Statement'!Q61/P35)</f>
        <v>N/A</v>
      </c>
      <c r="Q36" s="904" t="str">
        <f>IF(Q35&lt;1, "N/A",'Book Income Statement'!R61/Q35)</f>
        <v>N/A</v>
      </c>
      <c r="R36" s="904" t="str">
        <f>IF(R35&lt;1, "N/A",'Book Income Statement'!S61/R35)</f>
        <v>N/A</v>
      </c>
      <c r="S36" s="904" t="str">
        <f>IF(S35&lt;1, "N/A",'Book Income Statement'!T61/S35)</f>
        <v>N/A</v>
      </c>
      <c r="T36" s="904" t="str">
        <f>IF(T35&lt;1, "N/A",'Book Income Statement'!U61/T35)</f>
        <v>N/A</v>
      </c>
      <c r="U36" s="904" t="str">
        <f>IF(U35&lt;1, "N/A",'Book Income Statement'!V61/U35)</f>
        <v>N/A</v>
      </c>
      <c r="V36" s="904" t="str">
        <f>IF(V35&lt;1, "N/A",'Book Income Statement'!W61/V35)</f>
        <v>N/A</v>
      </c>
      <c r="W36" s="904" t="str">
        <f>IF(W35&lt;1, "N/A",'Book Income Statement'!X61/W35)</f>
        <v>N/A</v>
      </c>
      <c r="X36" s="904" t="str">
        <f>IF(X35&lt;1, "N/A",'Book Income Statement'!Y61/X35)</f>
        <v>N/A</v>
      </c>
      <c r="Y36" s="904" t="str">
        <f>IF(Y35&lt;1, "N/A",'Book Income Statement'!Z61/Y35)</f>
        <v>N/A</v>
      </c>
      <c r="Z36" s="904" t="str">
        <f>IF(Z35&lt;1, "N/A",'Book Income Statement'!AA61/Z35)</f>
        <v>N/A</v>
      </c>
      <c r="AA36" s="905" t="str">
        <f>IF(AA35&lt;1, "N/A",'Book Income Statement'!AB61/AA35)</f>
        <v>N/A</v>
      </c>
      <c r="AB36" s="170"/>
    </row>
    <row r="37" spans="1:28" s="98" customFormat="1" ht="12.6" customHeight="1">
      <c r="A37" s="779" t="s">
        <v>109</v>
      </c>
      <c r="B37" s="179"/>
      <c r="C37" s="898">
        <f>IF($B$34&gt;0,(($B$34-IF('Project Assumptions'!$I$35="Normal",SUM('Debt Amortization'!$E$36:E36),SUM('Debt Amortization'!$E$88:E88)))/$B$34),0)</f>
        <v>1</v>
      </c>
      <c r="D37" s="898">
        <f>IF($B$34&gt;0,(($B$34-IF('Project Assumptions'!$I$35="Normal",SUM('Debt Amortization'!$E$36:F36),SUM('Debt Amortization'!$E$88:F88)))/$B$34),0)</f>
        <v>1</v>
      </c>
      <c r="E37" s="898">
        <f>IF($B$34&gt;0,(($B$34-IF('Project Assumptions'!$I$35="Normal",SUM('Debt Amortization'!$E$36:G36),SUM('Debt Amortization'!$E$88:G88)))/$B$34),0)</f>
        <v>0.95</v>
      </c>
      <c r="F37" s="898">
        <f>IF($B$34&gt;0,(($B$34-IF('Project Assumptions'!$I$35="Normal",SUM('Debt Amortization'!$E$36:H36),SUM('Debt Amortization'!$E$88:H88)))/$B$34),0)</f>
        <v>0.85</v>
      </c>
      <c r="G37" s="898">
        <f>IF($B$34&gt;0,(($B$34-IF('Project Assumptions'!$I$35="Normal",SUM('Debt Amortization'!$E$36:I36),SUM('Debt Amortization'!$E$88:I88)))/$B$34),0)</f>
        <v>0.75</v>
      </c>
      <c r="H37" s="898">
        <f>IF($B$34&gt;0,(($B$34-IF('Project Assumptions'!$I$35="Normal",SUM('Debt Amortization'!$E$36:J36),SUM('Debt Amortization'!$E$88:J88)))/$B$34),0)</f>
        <v>0.65</v>
      </c>
      <c r="I37" s="898">
        <f>IF($B$34&gt;0,(($B$34-IF('Project Assumptions'!$I$35="Normal",SUM('Debt Amortization'!$E$36:K36),SUM('Debt Amortization'!$E$88:K88)))/$B$34),0)</f>
        <v>0.55000000000000004</v>
      </c>
      <c r="J37" s="898">
        <f>IF($B$34&gt;0,(($B$34-IF('Project Assumptions'!$I$35="Normal",SUM('Debt Amortization'!$E$36:L36),SUM('Debt Amortization'!$E$88:L88)))/$B$34),0)</f>
        <v>0.45000000000000007</v>
      </c>
      <c r="K37" s="898">
        <f>IF($B$34&gt;0,(($B$34-IF('Project Assumptions'!$I$35="Normal",SUM('Debt Amortization'!$E$36:M36),SUM('Debt Amortization'!$E$88:M88)))/$B$34),0)</f>
        <v>0.25</v>
      </c>
      <c r="L37" s="898">
        <f>IF($B$34&gt;0,(($B$34-IF('Project Assumptions'!$I$35="Normal",SUM('Debt Amortization'!$E$36:N36),SUM('Debt Amortization'!$E$88:N88)))/$B$34),0)</f>
        <v>0</v>
      </c>
      <c r="M37" s="898">
        <f>IF($B$34&gt;0,(($B$34-IF('Project Assumptions'!$I$35="Normal",SUM('Debt Amortization'!$E$36:O36),SUM('Debt Amortization'!$E$88:O88)))/$B$34),0)</f>
        <v>0</v>
      </c>
      <c r="N37" s="898">
        <f>IF($B$34&gt;0,(($B$34-IF('Project Assumptions'!$I$35="Normal",SUM('Debt Amortization'!$E$36:P36),SUM('Debt Amortization'!$E$88:P88)))/$B$34),0)</f>
        <v>0</v>
      </c>
      <c r="O37" s="898">
        <f>IF($B$34&gt;0,(($B$34-IF('Project Assumptions'!$I$35="Normal",SUM('Debt Amortization'!$E$36:Q36),SUM('Debt Amortization'!$E$88:Q88)))/$B$34),0)</f>
        <v>0</v>
      </c>
      <c r="P37" s="898">
        <f>IF($B$34&gt;0,(($B$34-IF('Project Assumptions'!$I$35="Normal",SUM('Debt Amortization'!$E$36:R36),SUM('Debt Amortization'!$E$88:R88)))/$B$34),0)</f>
        <v>0</v>
      </c>
      <c r="Q37" s="898">
        <f>IF($B$34&gt;0,(($B$34-IF('Project Assumptions'!$I$35="Normal",SUM('Debt Amortization'!$E$36:S36),SUM('Debt Amortization'!$E$88:S88)))/$B$34),0)</f>
        <v>0</v>
      </c>
      <c r="R37" s="898">
        <f>IF($B$34&gt;0,(($B$34-IF('Project Assumptions'!$I$35="Normal",SUM('Debt Amortization'!$E$36:T36),SUM('Debt Amortization'!$E$88:T88)))/$B$34),0)</f>
        <v>0</v>
      </c>
      <c r="S37" s="898">
        <f>IF($B$34&gt;0,(($B$34-IF('Project Assumptions'!$I$35="Normal",SUM('Debt Amortization'!$E$36:U36),SUM('Debt Amortization'!$E$88:U88)))/$B$34),0)</f>
        <v>0</v>
      </c>
      <c r="T37" s="898">
        <f>IF($B$34&gt;0,(($B$34-IF('Project Assumptions'!$I$35="Normal",SUM('Debt Amortization'!$E$36:V36),SUM('Debt Amortization'!$E$88:V88)))/$B$34),0)</f>
        <v>0</v>
      </c>
      <c r="U37" s="898">
        <f>IF($B$34&gt;0,(($B$34-IF('Project Assumptions'!$I$35="Normal",SUM('Debt Amortization'!$E$36:W36),SUM('Debt Amortization'!$E$88:W88)))/$B$34),0)</f>
        <v>0</v>
      </c>
      <c r="V37" s="898">
        <f>IF($B$34&gt;0,(($B$34-IF('Project Assumptions'!$I$35="Normal",SUM('Debt Amortization'!$E$36:X36),SUM('Debt Amortization'!$E$88:X88)))/$B$34),0)</f>
        <v>0</v>
      </c>
      <c r="W37" s="898">
        <f>IF($B$34&gt;0,(($B$34-IF('Project Assumptions'!$I$35="Normal",SUM('Debt Amortization'!$E$36:Y36),SUM('Debt Amortization'!$E$88:Y88)))/$B$34),0)</f>
        <v>0</v>
      </c>
      <c r="X37" s="898">
        <f>IF($B$34&gt;0,(($B$34-IF('Project Assumptions'!$I$35="Normal",SUM('Debt Amortization'!$E$36:Z36),SUM('Debt Amortization'!$E$88:Z88)))/$B$34),0)</f>
        <v>0</v>
      </c>
      <c r="Y37" s="898">
        <f>IF($B$34&gt;0,(($B$34-IF('Project Assumptions'!$I$35="Normal",SUM('Debt Amortization'!$E$36:AA36),SUM('Debt Amortization'!$E$88:AA88)))/$B$34),0)</f>
        <v>0</v>
      </c>
      <c r="Z37" s="898">
        <f>IF($B$34&gt;0,(($B$34-IF('Project Assumptions'!$I$35="Normal",SUM('Debt Amortization'!$E$36:AB36),SUM('Debt Amortization'!$E$88:AB88)))/$B$34),0)</f>
        <v>0</v>
      </c>
      <c r="AA37" s="898">
        <f>IF($B$34&gt;0,(($B$34-IF('Project Assumptions'!$I$35="Normal",SUM('Debt Amortization'!$E$36:AC36),SUM('Debt Amortization'!$E$88:AC88)))/$B$34),0)</f>
        <v>0</v>
      </c>
      <c r="AB37" s="170"/>
    </row>
    <row r="38" spans="1:28" s="98" customFormat="1" ht="11.25">
      <c r="A38" s="779"/>
      <c r="B38" s="179"/>
      <c r="C38" s="179"/>
      <c r="D38" s="179"/>
      <c r="E38" s="179"/>
      <c r="F38" s="179"/>
      <c r="G38" s="179"/>
      <c r="H38" s="179"/>
      <c r="I38" s="179"/>
      <c r="J38" s="179"/>
      <c r="K38" s="179"/>
      <c r="L38" s="179"/>
      <c r="M38" s="179"/>
      <c r="N38" s="179"/>
      <c r="O38" s="179"/>
      <c r="P38" s="179"/>
      <c r="Q38" s="179"/>
      <c r="R38" s="179"/>
      <c r="S38" s="179"/>
      <c r="T38" s="179"/>
      <c r="U38" s="179"/>
      <c r="V38" s="179"/>
      <c r="W38" s="179"/>
      <c r="X38" s="179"/>
      <c r="Y38" s="179"/>
      <c r="Z38" s="179"/>
      <c r="AA38" s="782"/>
      <c r="AB38" s="170"/>
    </row>
    <row r="39" spans="1:28" s="98" customFormat="1" ht="12.6" customHeight="1">
      <c r="A39" s="795" t="s">
        <v>182</v>
      </c>
      <c r="B39" s="447" t="str">
        <f>IF('Project Assumptions'!$I$35="Normal",'Debt Amortization'!B21,"N/A")</f>
        <v>N/A</v>
      </c>
      <c r="C39" s="902"/>
      <c r="D39" s="902"/>
      <c r="E39" s="902"/>
      <c r="F39" s="902"/>
      <c r="G39" s="902"/>
      <c r="H39" s="902"/>
      <c r="I39" s="902"/>
      <c r="J39" s="902"/>
      <c r="K39" s="902"/>
      <c r="L39" s="902"/>
      <c r="M39" s="902"/>
      <c r="N39" s="902"/>
      <c r="O39" s="902"/>
      <c r="P39" s="902"/>
      <c r="Q39" s="902"/>
      <c r="R39" s="902"/>
      <c r="S39" s="902"/>
      <c r="T39" s="902"/>
      <c r="U39" s="902"/>
      <c r="V39" s="902"/>
      <c r="W39" s="902"/>
      <c r="X39" s="902"/>
      <c r="Y39" s="902"/>
      <c r="Z39" s="902"/>
      <c r="AA39" s="903"/>
      <c r="AB39" s="170"/>
    </row>
    <row r="40" spans="1:28" s="98" customFormat="1" ht="12.6" customHeight="1">
      <c r="A40" s="779" t="s">
        <v>110</v>
      </c>
      <c r="B40" s="179"/>
      <c r="C40" s="447" t="str">
        <f>IF('Project Assumptions'!$I$35="Normal",'Debt Amortization'!E45,"N/A")</f>
        <v>N/A</v>
      </c>
      <c r="D40" s="447" t="str">
        <f>IF('Project Assumptions'!$I$35="Normal",'Debt Amortization'!F45,"N/A")</f>
        <v>N/A</v>
      </c>
      <c r="E40" s="447" t="str">
        <f>IF('Project Assumptions'!$I$35="Normal",'Debt Amortization'!G45,"N/A")</f>
        <v>N/A</v>
      </c>
      <c r="F40" s="447" t="str">
        <f>IF('Project Assumptions'!$I$35="Normal",'Debt Amortization'!H45,"N/A")</f>
        <v>N/A</v>
      </c>
      <c r="G40" s="447" t="str">
        <f>IF('Project Assumptions'!$I$35="Normal",'Debt Amortization'!I45,"N/A")</f>
        <v>N/A</v>
      </c>
      <c r="H40" s="447" t="str">
        <f>IF('Project Assumptions'!$I$35="Normal",'Debt Amortization'!J45,"N/A")</f>
        <v>N/A</v>
      </c>
      <c r="I40" s="447" t="str">
        <f>IF('Project Assumptions'!$I$35="Normal",'Debt Amortization'!K45,"N/A")</f>
        <v>N/A</v>
      </c>
      <c r="J40" s="447" t="str">
        <f>IF('Project Assumptions'!$I$35="Normal",'Debt Amortization'!L45,"N/A")</f>
        <v>N/A</v>
      </c>
      <c r="K40" s="447" t="str">
        <f>IF('Project Assumptions'!$I$35="Normal",'Debt Amortization'!M45,"N/A")</f>
        <v>N/A</v>
      </c>
      <c r="L40" s="447" t="str">
        <f>IF('Project Assumptions'!$I$35="Normal",'Debt Amortization'!N45,"N/A")</f>
        <v>N/A</v>
      </c>
      <c r="M40" s="447" t="str">
        <f>IF('Project Assumptions'!$I$35="Normal",'Debt Amortization'!O45,"N/A")</f>
        <v>N/A</v>
      </c>
      <c r="N40" s="447" t="str">
        <f>IF('Project Assumptions'!$I$35="Normal",'Debt Amortization'!P45,"N/A")</f>
        <v>N/A</v>
      </c>
      <c r="O40" s="447" t="str">
        <f>IF('Project Assumptions'!$I$35="Normal",'Debt Amortization'!Q45,"N/A")</f>
        <v>N/A</v>
      </c>
      <c r="P40" s="447" t="str">
        <f>IF('Project Assumptions'!$I$35="Normal",'Debt Amortization'!R45,"N/A")</f>
        <v>N/A</v>
      </c>
      <c r="Q40" s="447" t="str">
        <f>IF('Project Assumptions'!$I$35="Normal",'Debt Amortization'!S45,"N/A")</f>
        <v>N/A</v>
      </c>
      <c r="R40" s="447" t="str">
        <f>IF('Project Assumptions'!$I$35="Normal",'Debt Amortization'!T45,"N/A")</f>
        <v>N/A</v>
      </c>
      <c r="S40" s="447" t="str">
        <f>IF('Project Assumptions'!$I$35="Normal",'Debt Amortization'!U45,"N/A")</f>
        <v>N/A</v>
      </c>
      <c r="T40" s="447" t="str">
        <f>IF('Project Assumptions'!$I$35="Normal",'Debt Amortization'!V45,"N/A")</f>
        <v>N/A</v>
      </c>
      <c r="U40" s="447" t="str">
        <f>IF('Project Assumptions'!$I$35="Normal",'Debt Amortization'!W45,"N/A")</f>
        <v>N/A</v>
      </c>
      <c r="V40" s="447" t="str">
        <f>IF('Project Assumptions'!$I$35="Normal",'Debt Amortization'!X45,"N/A")</f>
        <v>N/A</v>
      </c>
      <c r="W40" s="447" t="str">
        <f>IF('Project Assumptions'!$I$35="Normal",'Debt Amortization'!Y45,"N/A")</f>
        <v>N/A</v>
      </c>
      <c r="X40" s="447" t="str">
        <f>IF('Project Assumptions'!$I$35="Normal",'Debt Amortization'!Z45,"N/A")</f>
        <v>N/A</v>
      </c>
      <c r="Y40" s="447" t="str">
        <f>IF('Project Assumptions'!$I$35="Normal",'Debt Amortization'!AA45,"N/A")</f>
        <v>N/A</v>
      </c>
      <c r="Z40" s="447" t="str">
        <f>IF('Project Assumptions'!$I$35="Normal",'Debt Amortization'!AB45,"N/A")</f>
        <v>N/A</v>
      </c>
      <c r="AA40" s="893" t="str">
        <f>IF('Project Assumptions'!$I$35="Normal",'Debt Amortization'!AC45,"N/A")</f>
        <v>N/A</v>
      </c>
      <c r="AB40" s="170"/>
    </row>
    <row r="41" spans="1:28" s="98" customFormat="1" ht="12.6" customHeight="1">
      <c r="A41" s="779" t="s">
        <v>264</v>
      </c>
      <c r="B41" s="179"/>
      <c r="C41" s="904" t="e">
        <f>+IF(C40&lt;1, "N/A",'Book Income Statement'!D61/C40)</f>
        <v>#VALUE!</v>
      </c>
      <c r="D41" s="904" t="e">
        <f>+IF(D40&lt;1, "N/A",'Book Income Statement'!E61/D40)</f>
        <v>#VALUE!</v>
      </c>
      <c r="E41" s="904" t="e">
        <f>+IF(E40&lt;1, "N/A",'Book Income Statement'!F61/E40)</f>
        <v>#VALUE!</v>
      </c>
      <c r="F41" s="904" t="e">
        <f>+IF(F40&lt;1, "N/A",'Book Income Statement'!G61/F40)</f>
        <v>#VALUE!</v>
      </c>
      <c r="G41" s="904" t="e">
        <f>+IF(G40&lt;1, "N/A",'Book Income Statement'!H61/G40)</f>
        <v>#VALUE!</v>
      </c>
      <c r="H41" s="904" t="e">
        <f>+IF(H40&lt;1, "N/A",'Book Income Statement'!I61/H40)</f>
        <v>#VALUE!</v>
      </c>
      <c r="I41" s="904" t="e">
        <f>+IF(I40&lt;1, "N/A",'Book Income Statement'!J61/I40)</f>
        <v>#VALUE!</v>
      </c>
      <c r="J41" s="904" t="e">
        <f>+IF(J40&lt;1, "N/A",'Book Income Statement'!K61/J40)</f>
        <v>#VALUE!</v>
      </c>
      <c r="K41" s="904" t="e">
        <f>+IF(K40&lt;1, "N/A",'Book Income Statement'!L61/K40)</f>
        <v>#VALUE!</v>
      </c>
      <c r="L41" s="904" t="e">
        <f>+IF(L40&lt;1, "N/A",'Book Income Statement'!M61/L40)</f>
        <v>#VALUE!</v>
      </c>
      <c r="M41" s="904" t="e">
        <f>+IF(M40&lt;1, "N/A",'Book Income Statement'!N61/M40)</f>
        <v>#VALUE!</v>
      </c>
      <c r="N41" s="904" t="e">
        <f>+IF(N40&lt;1, "N/A",'Book Income Statement'!O61/N40)</f>
        <v>#VALUE!</v>
      </c>
      <c r="O41" s="904" t="e">
        <f>+IF(O40&lt;1, "N/A",'Book Income Statement'!P61/O40)</f>
        <v>#VALUE!</v>
      </c>
      <c r="P41" s="904" t="e">
        <f>+IF(P40&lt;1, "N/A",'Book Income Statement'!Q61/P40)</f>
        <v>#VALUE!</v>
      </c>
      <c r="Q41" s="904" t="e">
        <f>+IF(Q40&lt;1, "N/A",'Book Income Statement'!R61/Q40)</f>
        <v>#VALUE!</v>
      </c>
      <c r="R41" s="904" t="e">
        <f>+IF(R40&lt;1, "N/A",'Book Income Statement'!S61/R40)</f>
        <v>#VALUE!</v>
      </c>
      <c r="S41" s="904" t="e">
        <f>+IF(S40&lt;1, "N/A",'Book Income Statement'!T61/S40)</f>
        <v>#VALUE!</v>
      </c>
      <c r="T41" s="904" t="e">
        <f>+IF(T40&lt;1, "N/A",'Book Income Statement'!U61/T40)</f>
        <v>#VALUE!</v>
      </c>
      <c r="U41" s="904" t="e">
        <f>+IF(U40&lt;1, "N/A",'Book Income Statement'!V61/U40)</f>
        <v>#VALUE!</v>
      </c>
      <c r="V41" s="904" t="e">
        <f>+IF(V40&lt;1, "N/A",'Book Income Statement'!W61/V40)</f>
        <v>#VALUE!</v>
      </c>
      <c r="W41" s="904" t="e">
        <f>+IF(W40&lt;1, "N/A",'Book Income Statement'!X61/W40)</f>
        <v>#VALUE!</v>
      </c>
      <c r="X41" s="904" t="e">
        <f>+IF(X40&lt;1, "N/A",'Book Income Statement'!Y61/X40)</f>
        <v>#VALUE!</v>
      </c>
      <c r="Y41" s="904" t="e">
        <f>+IF(Y40&lt;1, "N/A",'Book Income Statement'!Z61/Y40)</f>
        <v>#VALUE!</v>
      </c>
      <c r="Z41" s="904" t="e">
        <f>+IF(Z40&lt;1, "N/A",'Book Income Statement'!AA61/Z40)</f>
        <v>#VALUE!</v>
      </c>
      <c r="AA41" s="905" t="e">
        <f>+IF(AA40&lt;1, "N/A",'Book Income Statement'!AB61/AA40)</f>
        <v>#VALUE!</v>
      </c>
      <c r="AB41" s="170"/>
    </row>
    <row r="42" spans="1:28" s="98" customFormat="1" ht="12.6" customHeight="1">
      <c r="A42" s="814" t="s">
        <v>109</v>
      </c>
      <c r="B42" s="739"/>
      <c r="C42" s="732" t="e">
        <f>IF($B$39&gt;0,(($B$39-IF('Project Assumptions'!$I$35="Normal",SUM('Debt Amortization'!$E$44:E44),0))/$B$39),0)</f>
        <v>#VALUE!</v>
      </c>
      <c r="D42" s="732" t="e">
        <f>IF($B$39&gt;0,(($B$39-IF('Project Assumptions'!$I$35="Normal",SUM('Debt Amortization'!$E$44:F44),0))/$B$39),0)</f>
        <v>#VALUE!</v>
      </c>
      <c r="E42" s="732" t="e">
        <f>IF($B$39&gt;0,(($B$39-IF('Project Assumptions'!$I$35="Normal",SUM('Debt Amortization'!$E$44:G44),0))/$B$39),0)</f>
        <v>#VALUE!</v>
      </c>
      <c r="F42" s="732" t="e">
        <f>IF($B$39&gt;0,(($B$39-IF('Project Assumptions'!$I$35="Normal",SUM('Debt Amortization'!$E$44:H44),0))/$B$39),0)</f>
        <v>#VALUE!</v>
      </c>
      <c r="G42" s="732" t="e">
        <f>IF($B$39&gt;0,(($B$39-IF('Project Assumptions'!$I$35="Normal",SUM('Debt Amortization'!$E$44:I44),0))/$B$39),0)</f>
        <v>#VALUE!</v>
      </c>
      <c r="H42" s="732" t="e">
        <f>IF($B$39&gt;0,(($B$39-IF('Project Assumptions'!$I$35="Normal",SUM('Debt Amortization'!$E$44:J44),0))/$B$39),0)</f>
        <v>#VALUE!</v>
      </c>
      <c r="I42" s="732" t="e">
        <f>IF($B$39&gt;0,(($B$39-IF('Project Assumptions'!$I$35="Normal",SUM('Debt Amortization'!$E$44:K44),0))/$B$39),0)</f>
        <v>#VALUE!</v>
      </c>
      <c r="J42" s="732" t="e">
        <f>IF($B$39&gt;0,(($B$39-IF('Project Assumptions'!$I$35="Normal",SUM('Debt Amortization'!$E$44:L44),0))/$B$39),0)</f>
        <v>#VALUE!</v>
      </c>
      <c r="K42" s="732" t="e">
        <f>IF($B$39&gt;0,(($B$39-IF('Project Assumptions'!$I$35="Normal",SUM('Debt Amortization'!$E$44:M44),0))/$B$39),0)</f>
        <v>#VALUE!</v>
      </c>
      <c r="L42" s="732" t="e">
        <f>IF($B$39&gt;0,(($B$39-IF('Project Assumptions'!$I$35="Normal",SUM('Debt Amortization'!$E$44:N44),0))/$B$39),0)</f>
        <v>#VALUE!</v>
      </c>
      <c r="M42" s="732" t="e">
        <f>IF($B$39&gt;0,(($B$39-IF('Project Assumptions'!$I$35="Normal",SUM('Debt Amortization'!$E$44:O44),0))/$B$39),0)</f>
        <v>#VALUE!</v>
      </c>
      <c r="N42" s="732" t="e">
        <f>IF($B$39&gt;0,(($B$39-IF('Project Assumptions'!$I$35="Normal",SUM('Debt Amortization'!$E$44:P44),0))/$B$39),0)</f>
        <v>#VALUE!</v>
      </c>
      <c r="O42" s="732" t="e">
        <f>IF($B$39&gt;0,(($B$39-IF('Project Assumptions'!$I$35="Normal",SUM('Debt Amortization'!$E$44:Q44),0))/$B$39),0)</f>
        <v>#VALUE!</v>
      </c>
      <c r="P42" s="732" t="e">
        <f>IF($B$39&gt;0,(($B$39-IF('Project Assumptions'!$I$35="Normal",SUM('Debt Amortization'!$E$44:R44),0))/$B$39),0)</f>
        <v>#VALUE!</v>
      </c>
      <c r="Q42" s="732" t="e">
        <f>IF($B$39&gt;0,(($B$39-IF('Project Assumptions'!$I$35="Normal",SUM('Debt Amortization'!$E$44:S44),0))/$B$39),0)</f>
        <v>#VALUE!</v>
      </c>
      <c r="R42" s="732" t="e">
        <f>IF($B$39&gt;0,(($B$39-IF('Project Assumptions'!$I$35="Normal",SUM('Debt Amortization'!$E$44:T44),0))/$B$39),0)</f>
        <v>#VALUE!</v>
      </c>
      <c r="S42" s="732" t="e">
        <f>IF($B$39&gt;0,(($B$39-IF('Project Assumptions'!$I$35="Normal",SUM('Debt Amortization'!$E$44:U44),0))/$B$39),0)</f>
        <v>#VALUE!</v>
      </c>
      <c r="T42" s="732" t="e">
        <f>IF($B$39&gt;0,(($B$39-IF('Project Assumptions'!$I$35="Normal",SUM('Debt Amortization'!$E$44:V44),0))/$B$39),0)</f>
        <v>#VALUE!</v>
      </c>
      <c r="U42" s="732" t="e">
        <f>IF($B$39&gt;0,(($B$39-IF('Project Assumptions'!$I$35="Normal",SUM('Debt Amortization'!$E$44:W44),0))/$B$39),0)</f>
        <v>#VALUE!</v>
      </c>
      <c r="V42" s="732" t="e">
        <f>IF($B$39&gt;0,(($B$39-IF('Project Assumptions'!$I$35="Normal",SUM('Debt Amortization'!$E$44:X44),0))/$B$39),0)</f>
        <v>#VALUE!</v>
      </c>
      <c r="W42" s="732" t="e">
        <f>IF($B$39&gt;0,(($B$39-IF('Project Assumptions'!$I$35="Normal",SUM('Debt Amortization'!$E$44:Y44),0))/$B$39),0)</f>
        <v>#VALUE!</v>
      </c>
      <c r="X42" s="732" t="e">
        <f>IF($B$39&gt;0,(($B$39-IF('Project Assumptions'!$I$35="Normal",SUM('Debt Amortization'!$E$44:Z44),0))/$B$39),0)</f>
        <v>#VALUE!</v>
      </c>
      <c r="Y42" s="732" t="e">
        <f>IF($B$39&gt;0,(($B$39-IF('Project Assumptions'!$I$35="Normal",SUM('Debt Amortization'!$E$44:AA44),0))/$B$39),0)</f>
        <v>#VALUE!</v>
      </c>
      <c r="Z42" s="732" t="e">
        <f>IF($B$39&gt;0,(($B$39-IF('Project Assumptions'!$I$35="Normal",SUM('Debt Amortization'!$E$44:AB44),0))/$B$39),0)</f>
        <v>#VALUE!</v>
      </c>
      <c r="AA42" s="733" t="e">
        <f>IF($B$39&gt;0,(($B$39-IF('Project Assumptions'!$I$35="Normal",SUM('Debt Amortization'!$E$44:AC44),0))/$B$39),0)</f>
        <v>#VALUE!</v>
      </c>
      <c r="AB42" s="170"/>
    </row>
    <row r="43" spans="1:28" ht="12.6" customHeight="1"/>
    <row r="44" spans="1:28" ht="12.6" customHeight="1"/>
    <row r="45" spans="1:28" ht="12.6" customHeight="1"/>
    <row r="46" spans="1:28" ht="12.6" customHeight="1"/>
    <row r="47" spans="1:28" ht="12.6" customHeight="1"/>
    <row r="48" spans="1:28" ht="12.6" customHeight="1"/>
    <row r="49" ht="12.6" customHeight="1"/>
    <row r="87" spans="1:28" s="98" customFormat="1" ht="12.6" customHeight="1">
      <c r="A87" s="170"/>
      <c r="B87" s="170"/>
      <c r="C87" s="442"/>
      <c r="D87" s="442"/>
      <c r="E87" s="442"/>
      <c r="F87" s="442"/>
      <c r="G87" s="442"/>
      <c r="H87" s="442"/>
      <c r="I87" s="442"/>
      <c r="J87" s="442"/>
      <c r="K87" s="442"/>
      <c r="L87" s="442"/>
      <c r="M87" s="442"/>
      <c r="N87" s="442"/>
      <c r="O87" s="442"/>
      <c r="P87" s="442"/>
      <c r="Q87" s="442"/>
      <c r="R87" s="442"/>
      <c r="S87" s="442"/>
      <c r="T87" s="442"/>
      <c r="U87" s="442"/>
      <c r="V87" s="442"/>
      <c r="W87" s="442"/>
      <c r="X87" s="442"/>
      <c r="Y87" s="442"/>
      <c r="Z87" s="442"/>
      <c r="AA87" s="442"/>
      <c r="AB87" s="170"/>
    </row>
    <row r="88" spans="1:28" s="98" customFormat="1" ht="12.6" customHeight="1">
      <c r="A88" s="170"/>
      <c r="B88" s="170"/>
      <c r="C88" s="448"/>
      <c r="D88" s="448"/>
      <c r="E88" s="448"/>
      <c r="F88" s="448"/>
      <c r="G88" s="448"/>
      <c r="H88" s="448"/>
      <c r="I88" s="448"/>
      <c r="J88" s="448"/>
      <c r="K88" s="448"/>
      <c r="L88" s="448"/>
      <c r="M88" s="448"/>
      <c r="N88" s="448"/>
      <c r="O88" s="448"/>
      <c r="P88" s="448"/>
      <c r="Q88" s="448"/>
      <c r="R88" s="448"/>
      <c r="S88" s="448"/>
      <c r="T88" s="448"/>
      <c r="U88" s="448"/>
      <c r="V88" s="448"/>
      <c r="W88" s="448"/>
      <c r="X88" s="448"/>
      <c r="Y88" s="448"/>
      <c r="Z88" s="448"/>
      <c r="AA88" s="448"/>
      <c r="AB88" s="170"/>
    </row>
    <row r="89" spans="1:28" s="98" customFormat="1" ht="12.6" customHeight="1">
      <c r="A89" s="170"/>
      <c r="B89" s="170"/>
      <c r="C89" s="442"/>
      <c r="D89" s="442"/>
      <c r="E89" s="442"/>
      <c r="F89" s="442"/>
      <c r="G89" s="442"/>
      <c r="H89" s="442"/>
      <c r="I89" s="442"/>
      <c r="J89" s="442"/>
      <c r="K89" s="442"/>
      <c r="L89" s="442"/>
      <c r="M89" s="442"/>
      <c r="N89" s="442"/>
      <c r="O89" s="442"/>
      <c r="P89" s="442"/>
      <c r="Q89" s="442"/>
      <c r="R89" s="442"/>
      <c r="S89" s="442"/>
      <c r="T89" s="442"/>
      <c r="U89" s="442"/>
      <c r="V89" s="442"/>
      <c r="W89" s="442"/>
      <c r="X89" s="442"/>
      <c r="Y89" s="442"/>
      <c r="Z89" s="442"/>
      <c r="AA89" s="442"/>
      <c r="AB89" s="170"/>
    </row>
    <row r="90" spans="1:28" s="98" customFormat="1" ht="12.6" customHeight="1">
      <c r="A90" s="170"/>
      <c r="B90" s="170"/>
      <c r="C90" s="448"/>
      <c r="D90" s="448"/>
      <c r="E90" s="448"/>
      <c r="F90" s="448"/>
      <c r="G90" s="448"/>
      <c r="H90" s="448"/>
      <c r="I90" s="448"/>
      <c r="J90" s="448"/>
      <c r="K90" s="448"/>
      <c r="L90" s="448"/>
      <c r="M90" s="448"/>
      <c r="N90" s="448"/>
      <c r="O90" s="448"/>
      <c r="P90" s="448"/>
      <c r="Q90" s="448"/>
      <c r="R90" s="448"/>
      <c r="S90" s="448"/>
      <c r="T90" s="448"/>
      <c r="U90" s="448"/>
      <c r="V90" s="448"/>
      <c r="W90" s="448"/>
      <c r="X90" s="448"/>
      <c r="Y90" s="448"/>
      <c r="Z90" s="448"/>
      <c r="AA90" s="448"/>
      <c r="AB90" s="170"/>
    </row>
    <row r="91" spans="1:28">
      <c r="C91" s="449"/>
      <c r="D91" s="449"/>
      <c r="E91" s="449"/>
      <c r="F91" s="449"/>
      <c r="G91" s="449"/>
      <c r="H91" s="449"/>
      <c r="I91" s="449"/>
      <c r="J91" s="449"/>
      <c r="K91" s="449"/>
      <c r="L91" s="449"/>
      <c r="M91" s="449"/>
      <c r="N91" s="449"/>
      <c r="O91" s="449"/>
      <c r="P91" s="449"/>
      <c r="Q91" s="449"/>
      <c r="R91" s="449"/>
      <c r="S91" s="449"/>
      <c r="T91" s="449"/>
      <c r="U91" s="449"/>
      <c r="V91" s="449"/>
      <c r="W91" s="449"/>
      <c r="X91" s="449"/>
      <c r="Y91" s="449"/>
      <c r="Z91" s="449"/>
      <c r="AA91" s="449"/>
    </row>
    <row r="93" spans="1:28">
      <c r="C93" s="449"/>
      <c r="D93" s="449"/>
      <c r="E93" s="449"/>
      <c r="F93" s="449"/>
      <c r="G93" s="449"/>
      <c r="H93" s="449"/>
      <c r="I93" s="449"/>
      <c r="J93" s="449"/>
      <c r="K93" s="449"/>
      <c r="L93" s="449"/>
      <c r="M93" s="449"/>
      <c r="N93" s="449"/>
      <c r="O93" s="449"/>
      <c r="P93" s="449"/>
      <c r="Q93" s="449"/>
      <c r="R93" s="449"/>
      <c r="S93" s="449"/>
      <c r="T93" s="449"/>
      <c r="U93" s="449"/>
      <c r="V93" s="449"/>
      <c r="W93" s="449"/>
      <c r="X93" s="449"/>
      <c r="Y93" s="449"/>
      <c r="Z93" s="449"/>
      <c r="AA93" s="449"/>
    </row>
    <row r="96" spans="1:28" ht="12.6" customHeight="1"/>
    <row r="97" ht="12.6" customHeight="1"/>
    <row r="131" spans="1:229" s="98" customFormat="1" ht="12.6" customHeight="1">
      <c r="A131" s="170"/>
      <c r="B131" s="170"/>
      <c r="C131" s="450"/>
      <c r="D131" s="450"/>
      <c r="E131" s="450"/>
      <c r="F131" s="450"/>
      <c r="G131" s="450"/>
      <c r="H131" s="450"/>
      <c r="I131" s="450"/>
      <c r="J131" s="450"/>
      <c r="K131" s="450"/>
      <c r="L131" s="450"/>
      <c r="M131" s="450"/>
      <c r="N131" s="450"/>
      <c r="O131" s="450"/>
      <c r="P131" s="450"/>
      <c r="Q131" s="450"/>
      <c r="R131" s="450"/>
      <c r="S131" s="450"/>
      <c r="T131" s="450"/>
      <c r="U131" s="450"/>
      <c r="V131" s="450"/>
      <c r="W131" s="450"/>
      <c r="X131" s="450"/>
      <c r="Y131" s="450"/>
      <c r="Z131" s="450"/>
      <c r="AA131" s="450"/>
      <c r="AB131" s="170"/>
    </row>
    <row r="132" spans="1:229" s="98" customFormat="1" ht="12.6" customHeight="1">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c r="AB132" s="170"/>
    </row>
    <row r="133" spans="1:229" s="98" customFormat="1" ht="12.6" customHeight="1">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c r="AB133" s="170"/>
    </row>
    <row r="134" spans="1:229" s="101" customFormat="1" ht="15.75">
      <c r="A134" s="451"/>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c r="AA134" s="179"/>
      <c r="AB134" s="179"/>
    </row>
    <row r="135" spans="1:229" s="98" customFormat="1" ht="12.6" customHeight="1">
      <c r="A135" s="170"/>
      <c r="B135" s="170"/>
      <c r="C135" s="448"/>
      <c r="D135" s="448"/>
      <c r="E135" s="448"/>
      <c r="F135" s="448"/>
      <c r="G135" s="448"/>
      <c r="H135" s="448"/>
      <c r="I135" s="448"/>
      <c r="J135" s="448"/>
      <c r="K135" s="448"/>
      <c r="L135" s="448"/>
      <c r="M135" s="448"/>
      <c r="N135" s="448"/>
      <c r="O135" s="448"/>
      <c r="P135" s="448"/>
      <c r="Q135" s="448"/>
      <c r="R135" s="448"/>
      <c r="S135" s="448"/>
      <c r="T135" s="448"/>
      <c r="U135" s="448"/>
      <c r="V135" s="448"/>
      <c r="W135" s="448"/>
      <c r="X135" s="448"/>
      <c r="Y135" s="448"/>
      <c r="Z135" s="448"/>
      <c r="AA135" s="448"/>
      <c r="AB135" s="170"/>
    </row>
    <row r="136" spans="1:229" s="98" customFormat="1" ht="12.6" customHeight="1">
      <c r="A136" s="170"/>
      <c r="B136" s="170"/>
      <c r="C136" s="448"/>
      <c r="D136" s="448"/>
      <c r="E136" s="448"/>
      <c r="F136" s="448"/>
      <c r="G136" s="448"/>
      <c r="H136" s="448"/>
      <c r="I136" s="448"/>
      <c r="J136" s="448"/>
      <c r="K136" s="448"/>
      <c r="L136" s="448"/>
      <c r="M136" s="448"/>
      <c r="N136" s="448"/>
      <c r="O136" s="448"/>
      <c r="P136" s="448"/>
      <c r="Q136" s="448"/>
      <c r="R136" s="448"/>
      <c r="S136" s="448"/>
      <c r="T136" s="448"/>
      <c r="U136" s="448"/>
      <c r="V136" s="448"/>
      <c r="W136" s="448"/>
      <c r="X136" s="448"/>
      <c r="Y136" s="448"/>
      <c r="Z136" s="448"/>
      <c r="AA136" s="448"/>
      <c r="AB136" s="170"/>
    </row>
    <row r="137" spans="1:229" s="98" customFormat="1" ht="12.6" customHeight="1">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c r="AB137" s="170"/>
    </row>
    <row r="138" spans="1:229" s="98" customFormat="1" ht="12.6" customHeight="1">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c r="AB138" s="170"/>
    </row>
    <row r="139" spans="1:229" s="98" customFormat="1" ht="12.6" customHeight="1">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c r="AB139" s="170"/>
    </row>
    <row r="140" spans="1:229" s="3" customFormat="1" ht="12.6" customHeight="1">
      <c r="A140" s="398"/>
      <c r="B140" s="184"/>
      <c r="C140" s="186"/>
      <c r="D140" s="402"/>
      <c r="E140" s="402"/>
      <c r="F140" s="402"/>
      <c r="G140" s="402"/>
      <c r="H140" s="402"/>
      <c r="I140" s="402"/>
      <c r="J140" s="402"/>
      <c r="K140" s="402"/>
      <c r="L140" s="402"/>
      <c r="M140" s="402"/>
      <c r="N140" s="402"/>
      <c r="O140" s="402"/>
      <c r="P140" s="402"/>
      <c r="Q140" s="402"/>
      <c r="R140" s="402"/>
      <c r="S140" s="402"/>
      <c r="T140" s="402"/>
      <c r="U140" s="402"/>
      <c r="V140" s="402"/>
      <c r="W140" s="402"/>
      <c r="X140" s="402"/>
      <c r="Y140" s="402"/>
      <c r="Z140" s="402"/>
      <c r="AA140" s="402"/>
      <c r="AB140" s="402"/>
    </row>
    <row r="141" spans="1:229" s="3" customFormat="1" ht="12.6" customHeight="1">
      <c r="A141" s="395"/>
      <c r="B141" s="188"/>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c r="HJ141" s="7"/>
      <c r="HK141" s="7"/>
      <c r="HL141" s="7"/>
      <c r="HM141" s="7"/>
      <c r="HN141" s="7"/>
      <c r="HO141" s="7"/>
      <c r="HP141" s="7"/>
      <c r="HQ141" s="7"/>
      <c r="HR141" s="7"/>
      <c r="HS141" s="7"/>
      <c r="HT141" s="7"/>
      <c r="HU141" s="7"/>
    </row>
    <row r="142" spans="1:229" s="7" customFormat="1" ht="12.6" customHeight="1">
      <c r="A142" s="395"/>
      <c r="B142" s="188"/>
      <c r="C142" s="452"/>
      <c r="D142" s="452"/>
      <c r="E142" s="452"/>
      <c r="F142" s="452"/>
      <c r="G142" s="452"/>
      <c r="H142" s="452"/>
      <c r="I142" s="452"/>
      <c r="J142" s="452"/>
      <c r="K142" s="452"/>
      <c r="L142" s="452"/>
      <c r="M142" s="452"/>
      <c r="N142" s="452"/>
      <c r="O142" s="452"/>
      <c r="P142" s="452"/>
      <c r="Q142" s="452"/>
      <c r="R142" s="452"/>
      <c r="S142" s="452"/>
      <c r="T142" s="452"/>
      <c r="U142" s="452"/>
      <c r="V142" s="452"/>
      <c r="W142" s="452"/>
      <c r="X142" s="452"/>
      <c r="Y142" s="452"/>
      <c r="Z142" s="452"/>
      <c r="AA142" s="452"/>
      <c r="AB142" s="186"/>
    </row>
    <row r="143" spans="1:229" s="98" customFormat="1" ht="12.6" customHeight="1">
      <c r="A143" s="170"/>
      <c r="B143" s="170"/>
      <c r="C143" s="450"/>
      <c r="D143" s="450"/>
      <c r="E143" s="450"/>
      <c r="F143" s="450"/>
      <c r="G143" s="450"/>
      <c r="H143" s="450"/>
      <c r="I143" s="450"/>
      <c r="J143" s="450"/>
      <c r="K143" s="450"/>
      <c r="L143" s="450"/>
      <c r="M143" s="450"/>
      <c r="N143" s="450"/>
      <c r="O143" s="450"/>
      <c r="P143" s="450"/>
      <c r="Q143" s="450"/>
      <c r="R143" s="450"/>
      <c r="S143" s="450"/>
      <c r="T143" s="450"/>
      <c r="U143" s="450"/>
      <c r="V143" s="450"/>
      <c r="W143" s="450"/>
      <c r="X143" s="450"/>
      <c r="Y143" s="450"/>
      <c r="Z143" s="450"/>
      <c r="AA143" s="450"/>
      <c r="AB143" s="170"/>
    </row>
    <row r="144" spans="1:229" s="98" customFormat="1" ht="12.6" customHeight="1">
      <c r="A144" s="170"/>
      <c r="B144" s="170"/>
      <c r="C144" s="453"/>
      <c r="D144" s="453"/>
      <c r="E144" s="453"/>
      <c r="F144" s="453"/>
      <c r="G144" s="453"/>
      <c r="H144" s="453"/>
      <c r="I144" s="453"/>
      <c r="J144" s="453"/>
      <c r="K144" s="453"/>
      <c r="L144" s="453"/>
      <c r="M144" s="453"/>
      <c r="N144" s="453"/>
      <c r="O144" s="453"/>
      <c r="P144" s="453"/>
      <c r="Q144" s="453"/>
      <c r="R144" s="453"/>
      <c r="S144" s="453"/>
      <c r="T144" s="453"/>
      <c r="U144" s="453"/>
      <c r="V144" s="453"/>
      <c r="W144" s="453"/>
      <c r="X144" s="453"/>
      <c r="Y144" s="453"/>
      <c r="Z144" s="453"/>
      <c r="AA144" s="453"/>
      <c r="AB144" s="170"/>
    </row>
    <row r="145" spans="1:28" s="7" customFormat="1" ht="12.6" customHeight="1">
      <c r="A145" s="398"/>
      <c r="B145" s="186"/>
      <c r="C145" s="452"/>
      <c r="D145" s="452"/>
      <c r="E145" s="452"/>
      <c r="F145" s="452"/>
      <c r="G145" s="452"/>
      <c r="H145" s="452"/>
      <c r="I145" s="452"/>
      <c r="J145" s="452"/>
      <c r="K145" s="452"/>
      <c r="L145" s="452"/>
      <c r="M145" s="452"/>
      <c r="N145" s="452"/>
      <c r="O145" s="452"/>
      <c r="P145" s="452"/>
      <c r="Q145" s="452"/>
      <c r="R145" s="452"/>
      <c r="S145" s="452"/>
      <c r="T145" s="452"/>
      <c r="U145" s="452"/>
      <c r="V145" s="452"/>
      <c r="W145" s="452"/>
      <c r="X145" s="452"/>
      <c r="Y145" s="452"/>
      <c r="Z145" s="452"/>
      <c r="AA145" s="452"/>
      <c r="AB145" s="186"/>
    </row>
    <row r="146" spans="1:28" s="101" customFormat="1" ht="15.75">
      <c r="A146" s="451"/>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c r="AA146" s="179"/>
      <c r="AB146" s="179"/>
    </row>
    <row r="147" spans="1:28" s="98" customFormat="1" ht="12.6" customHeight="1">
      <c r="A147" s="170"/>
      <c r="B147" s="170"/>
      <c r="C147" s="450"/>
      <c r="D147" s="450"/>
      <c r="E147" s="450"/>
      <c r="F147" s="450"/>
      <c r="G147" s="450"/>
      <c r="H147" s="450"/>
      <c r="I147" s="450"/>
      <c r="J147" s="450"/>
      <c r="K147" s="450"/>
      <c r="L147" s="450"/>
      <c r="M147" s="450"/>
      <c r="N147" s="450"/>
      <c r="O147" s="450"/>
      <c r="P147" s="450"/>
      <c r="Q147" s="450"/>
      <c r="R147" s="450"/>
      <c r="S147" s="450"/>
      <c r="T147" s="450"/>
      <c r="U147" s="450"/>
      <c r="V147" s="450"/>
      <c r="W147" s="450"/>
      <c r="X147" s="450"/>
      <c r="Y147" s="450"/>
      <c r="Z147" s="450"/>
      <c r="AA147" s="450"/>
      <c r="AB147" s="170"/>
    </row>
    <row r="148" spans="1:28" s="98" customFormat="1" ht="12.6" customHeight="1">
      <c r="A148" s="170"/>
      <c r="B148" s="170"/>
      <c r="C148" s="450"/>
      <c r="D148" s="450"/>
      <c r="E148" s="450"/>
      <c r="F148" s="450"/>
      <c r="G148" s="450"/>
      <c r="H148" s="450"/>
      <c r="I148" s="450"/>
      <c r="J148" s="450"/>
      <c r="K148" s="450"/>
      <c r="L148" s="450"/>
      <c r="M148" s="450"/>
      <c r="N148" s="450"/>
      <c r="O148" s="450"/>
      <c r="P148" s="450"/>
      <c r="Q148" s="450"/>
      <c r="R148" s="450"/>
      <c r="S148" s="450"/>
      <c r="T148" s="450"/>
      <c r="U148" s="450"/>
      <c r="V148" s="450"/>
      <c r="W148" s="450"/>
      <c r="X148" s="450"/>
      <c r="Y148" s="450"/>
      <c r="Z148" s="450"/>
      <c r="AA148" s="450"/>
      <c r="AB148" s="170"/>
    </row>
    <row r="149" spans="1:28" s="98" customFormat="1" ht="12.6" customHeight="1">
      <c r="A149" s="170"/>
      <c r="B149" s="170"/>
      <c r="C149" s="450"/>
      <c r="D149" s="450"/>
      <c r="E149" s="450"/>
      <c r="F149" s="450"/>
      <c r="G149" s="450"/>
      <c r="H149" s="450"/>
      <c r="I149" s="450"/>
      <c r="J149" s="450"/>
      <c r="K149" s="450"/>
      <c r="L149" s="450"/>
      <c r="M149" s="450"/>
      <c r="N149" s="450"/>
      <c r="O149" s="450"/>
      <c r="P149" s="450"/>
      <c r="Q149" s="450"/>
      <c r="R149" s="450"/>
      <c r="S149" s="450"/>
      <c r="T149" s="450"/>
      <c r="U149" s="450"/>
      <c r="V149" s="450"/>
      <c r="W149" s="450"/>
      <c r="X149" s="450"/>
      <c r="Y149" s="450"/>
      <c r="Z149" s="450"/>
      <c r="AA149" s="450"/>
      <c r="AB149" s="170"/>
    </row>
    <row r="150" spans="1:28" s="101" customFormat="1" ht="15.75">
      <c r="A150" s="451"/>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c r="AA150" s="179"/>
      <c r="AB150" s="179"/>
    </row>
    <row r="151" spans="1:28" s="7" customFormat="1" ht="12.6" customHeight="1">
      <c r="A151" s="398"/>
      <c r="B151" s="186"/>
      <c r="C151" s="452"/>
      <c r="D151" s="452"/>
      <c r="E151" s="452"/>
      <c r="F151" s="452"/>
      <c r="G151" s="452"/>
      <c r="H151" s="452"/>
      <c r="I151" s="452"/>
      <c r="J151" s="452"/>
      <c r="K151" s="452"/>
      <c r="L151" s="452"/>
      <c r="M151" s="452"/>
      <c r="N151" s="452"/>
      <c r="O151" s="452"/>
      <c r="P151" s="452"/>
      <c r="Q151" s="452"/>
      <c r="R151" s="452"/>
      <c r="S151" s="452"/>
      <c r="T151" s="452"/>
      <c r="U151" s="452"/>
      <c r="V151" s="452"/>
      <c r="W151" s="452"/>
      <c r="X151" s="452"/>
      <c r="Y151" s="452"/>
      <c r="Z151" s="452"/>
      <c r="AA151" s="452"/>
      <c r="AB151" s="186"/>
    </row>
    <row r="152" spans="1:28" s="7" customFormat="1" ht="12.6" customHeight="1">
      <c r="A152" s="398"/>
      <c r="B152" s="186"/>
      <c r="C152" s="452"/>
      <c r="D152" s="452"/>
      <c r="E152" s="452"/>
      <c r="F152" s="452"/>
      <c r="G152" s="452"/>
      <c r="H152" s="452"/>
      <c r="I152" s="452"/>
      <c r="J152" s="452"/>
      <c r="K152" s="452"/>
      <c r="L152" s="452"/>
      <c r="M152" s="452"/>
      <c r="N152" s="452"/>
      <c r="O152" s="452"/>
      <c r="P152" s="452"/>
      <c r="Q152" s="452"/>
      <c r="R152" s="452"/>
      <c r="S152" s="452"/>
      <c r="T152" s="452"/>
      <c r="U152" s="452"/>
      <c r="V152" s="452"/>
      <c r="W152" s="452"/>
      <c r="X152" s="452"/>
      <c r="Y152" s="452"/>
      <c r="Z152" s="452"/>
      <c r="AA152" s="452"/>
      <c r="AB152" s="186"/>
    </row>
    <row r="153" spans="1:28" s="7" customFormat="1" ht="12.6" customHeight="1">
      <c r="A153" s="398"/>
      <c r="B153" s="186"/>
      <c r="C153" s="452"/>
      <c r="D153" s="452"/>
      <c r="E153" s="452"/>
      <c r="F153" s="452"/>
      <c r="G153" s="452"/>
      <c r="H153" s="452"/>
      <c r="I153" s="452"/>
      <c r="J153" s="452"/>
      <c r="K153" s="452"/>
      <c r="L153" s="452"/>
      <c r="M153" s="452"/>
      <c r="N153" s="452"/>
      <c r="O153" s="452"/>
      <c r="P153" s="452"/>
      <c r="Q153" s="452"/>
      <c r="R153" s="452"/>
      <c r="S153" s="452"/>
      <c r="T153" s="452"/>
      <c r="U153" s="452"/>
      <c r="V153" s="452"/>
      <c r="W153" s="452"/>
      <c r="X153" s="452"/>
      <c r="Y153" s="452"/>
      <c r="Z153" s="452"/>
      <c r="AA153" s="452"/>
      <c r="AB153" s="186"/>
    </row>
    <row r="154" spans="1:28" s="7" customFormat="1" ht="12.6" customHeight="1">
      <c r="A154" s="398"/>
      <c r="B154" s="186"/>
      <c r="C154" s="452"/>
      <c r="D154" s="452"/>
      <c r="E154" s="452"/>
      <c r="F154" s="452"/>
      <c r="G154" s="452"/>
      <c r="H154" s="452"/>
      <c r="I154" s="452"/>
      <c r="J154" s="452"/>
      <c r="K154" s="452"/>
      <c r="L154" s="452"/>
      <c r="M154" s="452"/>
      <c r="N154" s="452"/>
      <c r="O154" s="452"/>
      <c r="P154" s="452"/>
      <c r="Q154" s="452"/>
      <c r="R154" s="452"/>
      <c r="S154" s="452"/>
      <c r="T154" s="452"/>
      <c r="U154" s="452"/>
      <c r="V154" s="452"/>
      <c r="W154" s="452"/>
      <c r="X154" s="452"/>
      <c r="Y154" s="452"/>
      <c r="Z154" s="452"/>
      <c r="AA154" s="452"/>
      <c r="AB154" s="186"/>
    </row>
    <row r="155" spans="1:28" s="7" customFormat="1" ht="12.6" customHeight="1">
      <c r="A155" s="398"/>
      <c r="B155" s="186"/>
      <c r="C155" s="452"/>
      <c r="D155" s="452"/>
      <c r="E155" s="452"/>
      <c r="F155" s="452"/>
      <c r="G155" s="452"/>
      <c r="H155" s="452"/>
      <c r="I155" s="452"/>
      <c r="J155" s="452"/>
      <c r="K155" s="452"/>
      <c r="L155" s="452"/>
      <c r="M155" s="452"/>
      <c r="N155" s="452"/>
      <c r="O155" s="452"/>
      <c r="P155" s="452"/>
      <c r="Q155" s="452"/>
      <c r="R155" s="452"/>
      <c r="S155" s="452"/>
      <c r="T155" s="452"/>
      <c r="U155" s="452"/>
      <c r="V155" s="452"/>
      <c r="W155" s="452"/>
      <c r="X155" s="452"/>
      <c r="Y155" s="452"/>
      <c r="Z155" s="452"/>
      <c r="AA155" s="452"/>
      <c r="AB155" s="186"/>
    </row>
    <row r="156" spans="1:28" s="7" customFormat="1" ht="12.6" customHeight="1">
      <c r="A156" s="398"/>
      <c r="B156" s="186"/>
      <c r="C156" s="452"/>
      <c r="D156" s="452"/>
      <c r="E156" s="452"/>
      <c r="F156" s="452"/>
      <c r="G156" s="452"/>
      <c r="H156" s="452"/>
      <c r="I156" s="452"/>
      <c r="J156" s="452"/>
      <c r="K156" s="452"/>
      <c r="L156" s="452"/>
      <c r="M156" s="452"/>
      <c r="N156" s="452"/>
      <c r="O156" s="452"/>
      <c r="P156" s="452"/>
      <c r="Q156" s="452"/>
      <c r="R156" s="452"/>
      <c r="S156" s="452"/>
      <c r="T156" s="452"/>
      <c r="U156" s="452"/>
      <c r="V156" s="452"/>
      <c r="W156" s="452"/>
      <c r="X156" s="452"/>
      <c r="Y156" s="452"/>
      <c r="Z156" s="452"/>
      <c r="AA156" s="452"/>
      <c r="AB156" s="186"/>
    </row>
    <row r="157" spans="1:28" s="7" customFormat="1" ht="12.6" customHeight="1">
      <c r="A157" s="398"/>
      <c r="B157" s="186"/>
      <c r="C157" s="452"/>
      <c r="D157" s="452"/>
      <c r="E157" s="452"/>
      <c r="F157" s="452"/>
      <c r="G157" s="452"/>
      <c r="H157" s="452"/>
      <c r="I157" s="452"/>
      <c r="J157" s="452"/>
      <c r="K157" s="452"/>
      <c r="L157" s="452"/>
      <c r="M157" s="452"/>
      <c r="N157" s="452"/>
      <c r="O157" s="452"/>
      <c r="P157" s="452"/>
      <c r="Q157" s="452"/>
      <c r="R157" s="452"/>
      <c r="S157" s="452"/>
      <c r="T157" s="452"/>
      <c r="U157" s="452"/>
      <c r="V157" s="452"/>
      <c r="W157" s="452"/>
      <c r="X157" s="452"/>
      <c r="Y157" s="452"/>
      <c r="Z157" s="452"/>
      <c r="AA157" s="452"/>
      <c r="AB157" s="186"/>
    </row>
    <row r="158" spans="1:28" s="7" customFormat="1" ht="12.6" customHeight="1">
      <c r="A158" s="398"/>
      <c r="B158" s="186"/>
      <c r="C158" s="452"/>
      <c r="D158" s="452"/>
      <c r="E158" s="452"/>
      <c r="F158" s="452"/>
      <c r="G158" s="452"/>
      <c r="H158" s="452"/>
      <c r="I158" s="452"/>
      <c r="J158" s="452"/>
      <c r="K158" s="452"/>
      <c r="L158" s="452"/>
      <c r="M158" s="452"/>
      <c r="N158" s="452"/>
      <c r="O158" s="452"/>
      <c r="P158" s="452"/>
      <c r="Q158" s="452"/>
      <c r="R158" s="452"/>
      <c r="S158" s="452"/>
      <c r="T158" s="452"/>
      <c r="U158" s="452"/>
      <c r="V158" s="452"/>
      <c r="W158" s="452"/>
      <c r="X158" s="452"/>
      <c r="Y158" s="452"/>
      <c r="Z158" s="452"/>
      <c r="AA158" s="452"/>
      <c r="AB158" s="186"/>
    </row>
    <row r="164" spans="1:228" s="3" customFormat="1" ht="12.6" customHeight="1">
      <c r="A164" s="395"/>
      <c r="B164" s="188"/>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4"/>
    </row>
    <row r="165" spans="1:228" s="3" customFormat="1" ht="12.6" customHeight="1">
      <c r="A165" s="398"/>
      <c r="B165" s="184"/>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c r="AA165" s="186"/>
      <c r="AB165" s="186"/>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D165" s="7"/>
      <c r="HE165" s="7"/>
      <c r="HF165" s="7"/>
      <c r="HG165" s="7"/>
      <c r="HH165" s="7"/>
      <c r="HI165" s="7"/>
      <c r="HJ165" s="7"/>
      <c r="HK165" s="7"/>
      <c r="HL165" s="7"/>
      <c r="HM165" s="7"/>
      <c r="HN165" s="7"/>
      <c r="HO165" s="7"/>
      <c r="HP165" s="7"/>
      <c r="HQ165" s="7"/>
      <c r="HR165" s="7"/>
      <c r="HS165" s="7"/>
      <c r="HT165" s="7"/>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5" right="0.5" top="1" bottom="1" header="0.5" footer="0.5"/>
  <pageSetup scale="37" orientation="landscape" r:id="rId3"/>
  <headerFooter alignWithMargins="0">
    <oddFooter>&amp;L&amp;D &amp;T&amp;R&amp;F
&amp;A &amp;P</oddFooter>
  </headerFooter>
  <colBreaks count="1" manualBreakCount="1">
    <brk id="22" max="4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workbookViewId="0">
      <selection activeCell="D22" sqref="D22:X22"/>
    </sheetView>
  </sheetViews>
  <sheetFormatPr defaultColWidth="9.28515625" defaultRowHeight="12.6" customHeight="1"/>
  <cols>
    <col min="1" max="1" width="23" style="170" customWidth="1"/>
    <col min="2" max="2" width="2.140625" style="170" customWidth="1"/>
    <col min="3" max="3" width="4" style="170" customWidth="1"/>
    <col min="4" max="28" width="9.28515625" style="170" bestFit="1" customWidth="1"/>
    <col min="29" max="29" width="9.28515625" style="179" customWidth="1"/>
    <col min="30" max="30" width="9.28515625" style="21" customWidth="1"/>
    <col min="31" max="16384" width="9.28515625" style="14"/>
  </cols>
  <sheetData>
    <row r="1" spans="1:54" ht="20.25">
      <c r="A1" s="634" t="str">
        <f>'Project Assumptions'!$A$2</f>
        <v>CALEDONIA, Lowndes County, MS</v>
      </c>
      <c r="B1" s="740"/>
      <c r="C1" s="740"/>
      <c r="D1" s="740"/>
      <c r="E1" s="741"/>
    </row>
    <row r="2" spans="1:54" ht="15.6" customHeight="1">
      <c r="A2" s="637" t="s">
        <v>41</v>
      </c>
      <c r="B2" s="742"/>
      <c r="C2" s="742"/>
      <c r="D2" s="742"/>
      <c r="E2" s="743"/>
    </row>
    <row r="3" spans="1:54" s="1" customFormat="1" ht="12.6" customHeight="1">
      <c r="A3" s="417"/>
      <c r="B3" s="163"/>
      <c r="C3" s="184"/>
      <c r="D3" s="184">
        <v>1</v>
      </c>
      <c r="E3" s="184">
        <f>D3+1</f>
        <v>2</v>
      </c>
      <c r="F3" s="184">
        <f t="shared" ref="F3:AB3" si="0">E3+1</f>
        <v>3</v>
      </c>
      <c r="G3" s="184">
        <f t="shared" si="0"/>
        <v>4</v>
      </c>
      <c r="H3" s="184">
        <f t="shared" si="0"/>
        <v>5</v>
      </c>
      <c r="I3" s="188">
        <f t="shared" si="0"/>
        <v>6</v>
      </c>
      <c r="J3" s="184">
        <f t="shared" si="0"/>
        <v>7</v>
      </c>
      <c r="K3" s="184">
        <f t="shared" si="0"/>
        <v>8</v>
      </c>
      <c r="L3" s="184">
        <f t="shared" si="0"/>
        <v>9</v>
      </c>
      <c r="M3" s="184">
        <f t="shared" si="0"/>
        <v>10</v>
      </c>
      <c r="N3" s="184">
        <f t="shared" si="0"/>
        <v>11</v>
      </c>
      <c r="O3" s="188">
        <f t="shared" si="0"/>
        <v>12</v>
      </c>
      <c r="P3" s="184">
        <f t="shared" si="0"/>
        <v>13</v>
      </c>
      <c r="Q3" s="184">
        <f t="shared" si="0"/>
        <v>14</v>
      </c>
      <c r="R3" s="184">
        <f t="shared" si="0"/>
        <v>15</v>
      </c>
      <c r="S3" s="184">
        <f t="shared" si="0"/>
        <v>16</v>
      </c>
      <c r="T3" s="184">
        <f t="shared" si="0"/>
        <v>17</v>
      </c>
      <c r="U3" s="188">
        <f t="shared" si="0"/>
        <v>18</v>
      </c>
      <c r="V3" s="184">
        <f t="shared" si="0"/>
        <v>19</v>
      </c>
      <c r="W3" s="184">
        <f t="shared" si="0"/>
        <v>20</v>
      </c>
      <c r="X3" s="184">
        <f t="shared" si="0"/>
        <v>21</v>
      </c>
      <c r="Y3" s="184">
        <f t="shared" si="0"/>
        <v>22</v>
      </c>
      <c r="Z3" s="184">
        <f t="shared" si="0"/>
        <v>23</v>
      </c>
      <c r="AA3" s="188">
        <f t="shared" si="0"/>
        <v>24</v>
      </c>
      <c r="AB3" s="184">
        <f t="shared" si="0"/>
        <v>25</v>
      </c>
      <c r="AC3" s="418"/>
      <c r="AD3"/>
    </row>
    <row r="4" spans="1:54" s="1" customFormat="1" ht="12.6" customHeight="1">
      <c r="A4" s="830"/>
      <c r="B4" s="642"/>
      <c r="C4" s="831"/>
      <c r="D4" s="759">
        <f>YEAR('Project Assumptions'!I17)</f>
        <v>1999</v>
      </c>
      <c r="E4" s="759">
        <f t="shared" ref="E4:AB4" si="1">D4+1</f>
        <v>2000</v>
      </c>
      <c r="F4" s="759">
        <f t="shared" si="1"/>
        <v>2001</v>
      </c>
      <c r="G4" s="759">
        <f t="shared" si="1"/>
        <v>2002</v>
      </c>
      <c r="H4" s="759">
        <f t="shared" si="1"/>
        <v>2003</v>
      </c>
      <c r="I4" s="759">
        <f t="shared" si="1"/>
        <v>2004</v>
      </c>
      <c r="J4" s="759">
        <f t="shared" si="1"/>
        <v>2005</v>
      </c>
      <c r="K4" s="759">
        <f t="shared" si="1"/>
        <v>2006</v>
      </c>
      <c r="L4" s="759">
        <f t="shared" si="1"/>
        <v>2007</v>
      </c>
      <c r="M4" s="759">
        <f t="shared" si="1"/>
        <v>2008</v>
      </c>
      <c r="N4" s="759">
        <f t="shared" si="1"/>
        <v>2009</v>
      </c>
      <c r="O4" s="759">
        <f t="shared" si="1"/>
        <v>2010</v>
      </c>
      <c r="P4" s="759">
        <f t="shared" si="1"/>
        <v>2011</v>
      </c>
      <c r="Q4" s="759">
        <f t="shared" si="1"/>
        <v>2012</v>
      </c>
      <c r="R4" s="759">
        <f t="shared" si="1"/>
        <v>2013</v>
      </c>
      <c r="S4" s="759">
        <f t="shared" si="1"/>
        <v>2014</v>
      </c>
      <c r="T4" s="759">
        <f t="shared" si="1"/>
        <v>2015</v>
      </c>
      <c r="U4" s="759">
        <f t="shared" si="1"/>
        <v>2016</v>
      </c>
      <c r="V4" s="759">
        <f t="shared" si="1"/>
        <v>2017</v>
      </c>
      <c r="W4" s="759">
        <f t="shared" si="1"/>
        <v>2018</v>
      </c>
      <c r="X4" s="759">
        <f t="shared" si="1"/>
        <v>2019</v>
      </c>
      <c r="Y4" s="759">
        <f t="shared" si="1"/>
        <v>2020</v>
      </c>
      <c r="Z4" s="759">
        <f t="shared" si="1"/>
        <v>2021</v>
      </c>
      <c r="AA4" s="759">
        <f t="shared" si="1"/>
        <v>2022</v>
      </c>
      <c r="AB4" s="760">
        <f t="shared" si="1"/>
        <v>2023</v>
      </c>
      <c r="AC4" s="189"/>
      <c r="AD4"/>
      <c r="AE4" s="39"/>
      <c r="AF4" s="39"/>
      <c r="AG4" s="39"/>
      <c r="AH4" s="39"/>
      <c r="AI4" s="39"/>
      <c r="AJ4" s="39"/>
      <c r="AK4" s="39"/>
      <c r="AL4" s="39"/>
      <c r="AM4" s="39"/>
      <c r="AN4" s="39"/>
      <c r="AO4" s="39"/>
      <c r="AP4" s="39"/>
      <c r="AQ4" s="39"/>
      <c r="AR4" s="39"/>
      <c r="AS4" s="39"/>
      <c r="AT4" s="39"/>
      <c r="AU4" s="39"/>
      <c r="AV4" s="39"/>
      <c r="AW4" s="39"/>
      <c r="AX4" s="39"/>
      <c r="AY4" s="39"/>
      <c r="AZ4" s="39"/>
    </row>
    <row r="5" spans="1:54" ht="12.6" customHeight="1">
      <c r="A5" s="779"/>
      <c r="B5" s="179"/>
      <c r="C5" s="436"/>
      <c r="D5" s="436"/>
      <c r="E5" s="436"/>
      <c r="F5" s="436"/>
      <c r="G5" s="436"/>
      <c r="H5" s="436"/>
      <c r="I5" s="436"/>
      <c r="J5" s="436"/>
      <c r="K5" s="436"/>
      <c r="L5" s="436"/>
      <c r="M5" s="436"/>
      <c r="N5" s="436"/>
      <c r="O5" s="436"/>
      <c r="P5" s="436"/>
      <c r="Q5" s="436"/>
      <c r="R5" s="436"/>
      <c r="S5" s="436"/>
      <c r="T5" s="436"/>
      <c r="U5" s="436"/>
      <c r="V5" s="436"/>
      <c r="W5" s="436"/>
      <c r="X5" s="436"/>
      <c r="Y5" s="436"/>
      <c r="Z5" s="436"/>
      <c r="AA5" s="436"/>
      <c r="AB5" s="907"/>
      <c r="AC5" s="436"/>
      <c r="AD5" s="15"/>
      <c r="AI5" s="16"/>
      <c r="AM5" s="16"/>
      <c r="AX5" s="16"/>
      <c r="BB5" s="16"/>
    </row>
    <row r="6" spans="1:54" ht="12.6" customHeight="1">
      <c r="A6" s="908" t="s">
        <v>32</v>
      </c>
      <c r="B6" s="179"/>
      <c r="C6" s="909">
        <f>SUM(D6:AD6)</f>
        <v>422638.01962126116</v>
      </c>
      <c r="D6" s="896">
        <f>IF(D3&gt;'Project Assumptions'!$I$16,0,'Book Income Statement'!D69)</f>
        <v>-3124.1949553443683</v>
      </c>
      <c r="E6" s="896">
        <f>IF(E3&gt;'Project Assumptions'!$I$16,0,'Book Income Statement'!E69)</f>
        <v>5454.8448235856977</v>
      </c>
      <c r="F6" s="896">
        <f>IF(F3&gt;'Project Assumptions'!$I$16,0,'Book Income Statement'!F69)</f>
        <v>5980.496999061761</v>
      </c>
      <c r="G6" s="896">
        <f>IF(G3&gt;'Project Assumptions'!$I$16,0,'Book Income Statement'!G69)</f>
        <v>6385.4145589871887</v>
      </c>
      <c r="H6" s="896">
        <f>IF(H3&gt;'Project Assumptions'!$I$16,0,'Book Income Statement'!H69)</f>
        <v>12664.464671588627</v>
      </c>
      <c r="I6" s="896">
        <f>IF(I3&gt;'Project Assumptions'!$I$16,0,'Book Income Statement'!I69)</f>
        <v>17719.032153597749</v>
      </c>
      <c r="J6" s="896">
        <f>IF(J3&gt;'Project Assumptions'!$I$16,0,'Book Income Statement'!J69)</f>
        <v>18758.569757962308</v>
      </c>
      <c r="K6" s="896">
        <f>IF(K3&gt;'Project Assumptions'!$I$16,0,'Book Income Statement'!K69)</f>
        <v>19494.695852282857</v>
      </c>
      <c r="L6" s="896">
        <f>IF(L3&gt;'Project Assumptions'!$I$16,0,'Book Income Statement'!L69)</f>
        <v>20860.114294226103</v>
      </c>
      <c r="M6" s="896">
        <f>IF(M3&gt;'Project Assumptions'!$I$16,0,'Book Income Statement'!M69)</f>
        <v>21859.647409852532</v>
      </c>
      <c r="N6" s="896">
        <f>IF(N3&gt;'Project Assumptions'!$I$16,0,'Book Income Statement'!N69)</f>
        <v>23716.208597593344</v>
      </c>
      <c r="O6" s="896">
        <f>IF(O3&gt;'Project Assumptions'!$I$16,0,'Book Income Statement'!O69)</f>
        <v>23433.721756707746</v>
      </c>
      <c r="P6" s="896">
        <f>IF(P3&gt;'Project Assumptions'!$I$16,0,'Book Income Statement'!P69)</f>
        <v>24781.006064335244</v>
      </c>
      <c r="Q6" s="896">
        <f>IF(Q3&gt;'Project Assumptions'!$I$16,0,'Book Income Statement'!Q69)</f>
        <v>25434.485683305422</v>
      </c>
      <c r="R6" s="896">
        <f>IF(R3&gt;'Project Assumptions'!$I$16,0,'Book Income Statement'!R69)</f>
        <v>26074.4900180599</v>
      </c>
      <c r="S6" s="896">
        <f>IF(S3&gt;'Project Assumptions'!$I$16,0,'Book Income Statement'!S69)</f>
        <v>26699.948162103687</v>
      </c>
      <c r="T6" s="896">
        <f>IF(T3&gt;'Project Assumptions'!$I$16,0,'Book Income Statement'!T69)</f>
        <v>27343.435763799029</v>
      </c>
      <c r="U6" s="896">
        <f>IF(U3&gt;'Project Assumptions'!$I$16,0,'Book Income Statement'!U69)</f>
        <v>28247.765908855381</v>
      </c>
      <c r="V6" s="896">
        <f>IF(V3&gt;'Project Assumptions'!$I$16,0,'Book Income Statement'!V69)</f>
        <v>29238.351545870966</v>
      </c>
      <c r="W6" s="896">
        <f>IF(W3&gt;'Project Assumptions'!$I$16,0,'Book Income Statement'!W69)</f>
        <v>30264.971849969341</v>
      </c>
      <c r="X6" s="896">
        <f>IF(X3&gt;'Project Assumptions'!$I$16+1,0,'Book Income Statement'!X69)</f>
        <v>31350.548704860685</v>
      </c>
      <c r="Y6" s="896">
        <f>IF(Y3&gt;'Project Assumptions'!$I$16,0,'Book Income Statement'!Y69)</f>
        <v>0</v>
      </c>
      <c r="Z6" s="896">
        <f>IF(Z3&gt;'Project Assumptions'!$I$16,0,'Book Income Statement'!Z69)</f>
        <v>0</v>
      </c>
      <c r="AA6" s="896">
        <f>IF(AA3&gt;'Project Assumptions'!$I$16,0,'Book Income Statement'!AA69)</f>
        <v>0</v>
      </c>
      <c r="AB6" s="897">
        <f>IF(AB3&gt;'Project Assumptions'!$I$16,0,'Book Income Statement'!AB69)</f>
        <v>0</v>
      </c>
      <c r="AC6" s="420"/>
      <c r="AD6" s="18"/>
    </row>
    <row r="7" spans="1:54" ht="12.6" customHeight="1">
      <c r="A7" s="910" t="s">
        <v>25</v>
      </c>
      <c r="B7" s="179"/>
      <c r="C7" s="909">
        <f>SUM(D7:AD7)</f>
        <v>97850.794199999975</v>
      </c>
      <c r="D7" s="422">
        <f>IF(D3&gt;'Project Assumptions'!$I$16,0,'Book Income Statement'!D63)</f>
        <v>2151.860133333334</v>
      </c>
      <c r="E7" s="422">
        <f>IF(E3&gt;'Project Assumptions'!$I$16,0,'Book Income Statement'!E63)</f>
        <v>5201.96432</v>
      </c>
      <c r="F7" s="422">
        <f>IF(F3&gt;'Project Assumptions'!$I$16,0,'Book Income Statement'!F63)</f>
        <v>5254.46432</v>
      </c>
      <c r="G7" s="422">
        <f>IF(G3&gt;'Project Assumptions'!$I$16,0,'Book Income Statement'!G63)</f>
        <v>5254.46432</v>
      </c>
      <c r="H7" s="422">
        <f>IF(H3&gt;'Project Assumptions'!$I$16,0,'Book Income Statement'!H63)</f>
        <v>5254.46432</v>
      </c>
      <c r="I7" s="422">
        <f>IF(I3&gt;'Project Assumptions'!$I$16,0,'Book Income Statement'!I63)</f>
        <v>5002.78982</v>
      </c>
      <c r="J7" s="422">
        <f>IF(J3&gt;'Project Assumptions'!$I$16,0,'Book Income Statement'!J63)</f>
        <v>4650.4455200000002</v>
      </c>
      <c r="K7" s="422">
        <f>IF(K3&gt;'Project Assumptions'!$I$16,0,'Book Income Statement'!K63)</f>
        <v>4650.4455200000002</v>
      </c>
      <c r="L7" s="422">
        <f>IF(L3&gt;'Project Assumptions'!$I$16,0,'Book Income Statement'!L63)</f>
        <v>4650.4455200000002</v>
      </c>
      <c r="M7" s="422">
        <f>IF(M3&gt;'Project Assumptions'!$I$16,0,'Book Income Statement'!M63)</f>
        <v>4650.4455200000002</v>
      </c>
      <c r="N7" s="422">
        <f>IF(N3&gt;'Project Assumptions'!$I$16,0,'Book Income Statement'!N63)</f>
        <v>4650.4455200000002</v>
      </c>
      <c r="O7" s="422">
        <f>IF(O3&gt;'Project Assumptions'!$I$16,0,'Book Income Statement'!O63)</f>
        <v>4650.4455200000002</v>
      </c>
      <c r="P7" s="422">
        <f>IF(P3&gt;'Project Assumptions'!$I$16,0,'Book Income Statement'!P63)</f>
        <v>4650.4455200000002</v>
      </c>
      <c r="Q7" s="422">
        <f>IF(Q3&gt;'Project Assumptions'!$I$16,0,'Book Income Statement'!Q63)</f>
        <v>4650.4455200000002</v>
      </c>
      <c r="R7" s="422">
        <f>IF(R3&gt;'Project Assumptions'!$I$16,0,'Book Income Statement'!R63)</f>
        <v>4650.4455200000002</v>
      </c>
      <c r="S7" s="422">
        <f>IF(S3&gt;'Project Assumptions'!$I$16,0,'Book Income Statement'!S63)</f>
        <v>4650.4455200000002</v>
      </c>
      <c r="T7" s="422">
        <f>IF(T3&gt;'Project Assumptions'!$I$16,0,'Book Income Statement'!T63)</f>
        <v>4650.4455200000002</v>
      </c>
      <c r="U7" s="422">
        <f>IF(U3&gt;'Project Assumptions'!$I$16,0,'Book Income Statement'!U63)</f>
        <v>4650.4455200000002</v>
      </c>
      <c r="V7" s="422">
        <f>IF(V3&gt;'Project Assumptions'!$I$16,0,'Book Income Statement'!V63)</f>
        <v>4650.4455200000002</v>
      </c>
      <c r="W7" s="422">
        <f>IF(W3&gt;'Project Assumptions'!$I$16,0,'Book Income Statement'!W63)</f>
        <v>4650.4455200000002</v>
      </c>
      <c r="X7" s="422">
        <f>IF(X3&gt;'Project Assumptions'!$I$16+1,0,'Book Income Statement'!X63)</f>
        <v>4624.5496866666672</v>
      </c>
      <c r="Y7" s="422">
        <f>IF(Y3&gt;'Project Assumptions'!$I$16,0,'Book Income Statement'!Y63)</f>
        <v>0</v>
      </c>
      <c r="Z7" s="422">
        <f>IF(Z3&gt;'Project Assumptions'!$I$16,0,'Book Income Statement'!Z63)</f>
        <v>0</v>
      </c>
      <c r="AA7" s="422">
        <f>IF(AA3&gt;'Project Assumptions'!$I$16,0,'Book Income Statement'!AA63)</f>
        <v>0</v>
      </c>
      <c r="AB7" s="911">
        <f>IF(AB3&gt;'Project Assumptions'!$I$16,0,'Book Income Statement'!AB63)</f>
        <v>0</v>
      </c>
      <c r="AC7" s="420"/>
      <c r="AD7" s="18"/>
      <c r="AF7" s="19"/>
      <c r="AH7" s="19"/>
      <c r="AL7" s="19"/>
      <c r="AU7" s="19"/>
    </row>
    <row r="8" spans="1:54" ht="12.6" customHeight="1">
      <c r="A8" s="910" t="s">
        <v>26</v>
      </c>
      <c r="B8" s="179"/>
      <c r="C8" s="909"/>
      <c r="D8" s="423">
        <f>IF(D3&gt;'Project Assumptions'!$I$16,0,'Book Income Statement'!D53)</f>
        <v>0</v>
      </c>
      <c r="E8" s="423">
        <f>IF(E3&gt;'Project Assumptions'!$I$16,0,'Book Income Statement'!E53)</f>
        <v>549.16369837411492</v>
      </c>
      <c r="F8" s="423">
        <f>IF(F3&gt;'Project Assumptions'!$I$16,0,'Book Income Statement'!F53)</f>
        <v>538.06948224534494</v>
      </c>
      <c r="G8" s="423">
        <f>IF(G3&gt;'Project Assumptions'!$I$16,0,'Book Income Statement'!G53)</f>
        <v>526.97526611657486</v>
      </c>
      <c r="H8" s="423">
        <f>IF(H3&gt;'Project Assumptions'!$I$16,0,'Book Income Statement'!H53)</f>
        <v>515.881049987805</v>
      </c>
      <c r="I8" s="423">
        <f>IF(I3&gt;'Project Assumptions'!$I$16,0,'Book Income Statement'!I53)</f>
        <v>504.78683385903503</v>
      </c>
      <c r="J8" s="423">
        <f>IF(J3&gt;'Project Assumptions'!$I$16,0,'Book Income Statement'!J53)</f>
        <v>493.69261773026494</v>
      </c>
      <c r="K8" s="423">
        <f>IF(K3&gt;'Project Assumptions'!$I$16,0,'Book Income Statement'!K53)</f>
        <v>477.05129353710993</v>
      </c>
      <c r="L8" s="423">
        <f>IF(L3&gt;'Project Assumptions'!$I$16,0,'Book Income Statement'!L53)</f>
        <v>460.40996934395491</v>
      </c>
      <c r="M8" s="423">
        <f>IF(M3&gt;'Project Assumptions'!$I$16,0,'Book Income Statement'!M53)</f>
        <v>443.76864515080001</v>
      </c>
      <c r="N8" s="423">
        <f>IF(N3&gt;'Project Assumptions'!$I$16,0,'Book Income Statement'!N53)</f>
        <v>421.58021289325995</v>
      </c>
      <c r="O8" s="423">
        <f>IF(O3&gt;'Project Assumptions'!$I$16,0,'Book Income Statement'!O53)</f>
        <v>1198.1753419071597</v>
      </c>
      <c r="P8" s="423">
        <f>IF(P3&gt;'Project Assumptions'!$I$16,0,'Book Income Statement'!P53)</f>
        <v>1114.9687209413851</v>
      </c>
      <c r="Q8" s="423">
        <f>IF(Q3&gt;'Project Assumptions'!$I$16,0,'Book Income Statement'!Q53)</f>
        <v>1015.120775782455</v>
      </c>
      <c r="R8" s="423">
        <f>IF(R3&gt;'Project Assumptions'!$I$16,0,'Book Income Statement'!R53)</f>
        <v>915.27283062352512</v>
      </c>
      <c r="S8" s="423">
        <f>IF(S3&gt;'Project Assumptions'!$I$16,0,'Book Income Statement'!S53)</f>
        <v>815.42488546459481</v>
      </c>
      <c r="T8" s="423">
        <f>IF(T3&gt;'Project Assumptions'!$I$16,0,'Book Income Statement'!T53)</f>
        <v>682.29429191935492</v>
      </c>
      <c r="U8" s="423">
        <f>IF(U3&gt;'Project Assumptions'!$I$16,0,'Book Income Statement'!U53)</f>
        <v>532.52237418096001</v>
      </c>
      <c r="V8" s="423">
        <f>IF(V3&gt;'Project Assumptions'!$I$16,0,'Book Income Statement'!V53)</f>
        <v>382.750456442565</v>
      </c>
      <c r="W8" s="423">
        <f>IF(W3&gt;'Project Assumptions'!$I$16,0,'Book Income Statement'!W53)</f>
        <v>332.82648386310001</v>
      </c>
      <c r="X8" s="423">
        <f>IF(X3&gt;'Project Assumptions'!$I$16+1,0,'Book Income Statement'!X53)</f>
        <v>332.82648386310001</v>
      </c>
      <c r="Y8" s="423">
        <f>IF(Y3&gt;'Project Assumptions'!$I$16,0,'Book Income Statement'!Y53)</f>
        <v>0</v>
      </c>
      <c r="Z8" s="423">
        <f>IF(Z3&gt;'Project Assumptions'!$I$16,0,'Book Income Statement'!Z53)</f>
        <v>0</v>
      </c>
      <c r="AA8" s="423">
        <f>IF(AA3&gt;'Project Assumptions'!$I$16,0,'Book Income Statement'!AA53)</f>
        <v>0</v>
      </c>
      <c r="AB8" s="912">
        <f>IF(AB3&gt;'Project Assumptions'!$I$16,0,'Book Income Statement'!AB53)</f>
        <v>0</v>
      </c>
      <c r="AC8" s="420"/>
      <c r="AD8" s="18"/>
      <c r="AF8" s="19"/>
      <c r="AH8" s="19"/>
      <c r="AL8" s="19"/>
      <c r="AU8" s="19"/>
    </row>
    <row r="9" spans="1:54" ht="12.6" customHeight="1">
      <c r="A9" s="910" t="s">
        <v>27</v>
      </c>
      <c r="B9" s="179"/>
      <c r="C9" s="909"/>
      <c r="D9" s="423">
        <f>IF(D3&gt;'Project Assumptions'!$I$16,0,0)</f>
        <v>0</v>
      </c>
      <c r="E9" s="423">
        <f>IF(E3&gt;'Project Assumptions'!$I$16,0,0)</f>
        <v>0</v>
      </c>
      <c r="F9" s="423">
        <f>IF(F3&gt;'Project Assumptions'!$I$16,0,Depreciation!E57)</f>
        <v>549.16369837411492</v>
      </c>
      <c r="G9" s="423">
        <f>IF(G3&gt;'Project Assumptions'!$I$16,0,Depreciation!F57)</f>
        <v>538.06948224534494</v>
      </c>
      <c r="H9" s="423">
        <f>IF(H3&gt;'Project Assumptions'!$I$16,0,Depreciation!G57)</f>
        <v>526.97526611657486</v>
      </c>
      <c r="I9" s="423">
        <f>IF(I3&gt;'Project Assumptions'!$I$16,0,Depreciation!H57)</f>
        <v>515.881049987805</v>
      </c>
      <c r="J9" s="423">
        <f>IF(J3&gt;'Project Assumptions'!$I$16,0,Depreciation!I57)</f>
        <v>504.78683385903503</v>
      </c>
      <c r="K9" s="423">
        <f>IF(K3&gt;'Project Assumptions'!$I$16,0,Depreciation!J57)</f>
        <v>493.69261773026494</v>
      </c>
      <c r="L9" s="423">
        <f>IF(L3&gt;'Project Assumptions'!$I$16,0,Depreciation!K57)</f>
        <v>477.05129353710993</v>
      </c>
      <c r="M9" s="423">
        <f>IF(M3&gt;'Project Assumptions'!$I$16,0,Depreciation!L57)</f>
        <v>460.40996934395491</v>
      </c>
      <c r="N9" s="423">
        <f>IF(N3&gt;'Project Assumptions'!$I$16,0,Depreciation!M57)</f>
        <v>443.76864515080001</v>
      </c>
      <c r="O9" s="423">
        <f>IF(O3&gt;'Project Assumptions'!$I$16,0,Depreciation!N57)</f>
        <v>421.58021289325995</v>
      </c>
      <c r="P9" s="423">
        <f>IF(P3&gt;'Project Assumptions'!$I$16,0,Depreciation!O57)</f>
        <v>1198.1753419071597</v>
      </c>
      <c r="Q9" s="423">
        <f>IF(Q3&gt;'Project Assumptions'!$I$16,0,Depreciation!P57)</f>
        <v>1114.9687209413851</v>
      </c>
      <c r="R9" s="423">
        <f>IF(R3&gt;'Project Assumptions'!$I$16,0,Depreciation!Q57)</f>
        <v>1015.120775782455</v>
      </c>
      <c r="S9" s="423">
        <f>IF(S3&gt;'Project Assumptions'!$I$16,0,Depreciation!R57)</f>
        <v>915.27283062352512</v>
      </c>
      <c r="T9" s="423">
        <f>IF(T3&gt;'Project Assumptions'!$I$16,0,Depreciation!S57)</f>
        <v>815.42488546459481</v>
      </c>
      <c r="U9" s="423">
        <f>IF(U3&gt;'Project Assumptions'!$I$16,0,Depreciation!T57)</f>
        <v>682.29429191935492</v>
      </c>
      <c r="V9" s="423">
        <f>IF(V3&gt;'Project Assumptions'!$I$16,0,Depreciation!U57)</f>
        <v>532.52237418096001</v>
      </c>
      <c r="W9" s="423">
        <f>IF(W3&gt;'Project Assumptions'!$I$16,0,Depreciation!V57)</f>
        <v>382.750456442565</v>
      </c>
      <c r="X9" s="423">
        <f>IF(X3&gt;'Project Assumptions'!$I$16+1,0,Depreciation!W57)</f>
        <v>332.82648386310001</v>
      </c>
      <c r="Y9" s="423">
        <f>IF(Y3&gt;'Project Assumptions'!$I$16,0,Depreciation!X57)</f>
        <v>0</v>
      </c>
      <c r="Z9" s="423">
        <f>IF(Z3&gt;'Project Assumptions'!$I$16,0,Depreciation!Y57)</f>
        <v>0</v>
      </c>
      <c r="AA9" s="423">
        <f>IF(AA3&gt;'Project Assumptions'!$I$16,0,Depreciation!Z57)</f>
        <v>0</v>
      </c>
      <c r="AB9" s="912">
        <f>IF(AB3&gt;'Project Assumptions'!$I$16,0,Depreciation!AA57)</f>
        <v>0</v>
      </c>
      <c r="AC9" s="420"/>
      <c r="AD9" s="18"/>
      <c r="AF9" s="19"/>
      <c r="AP9" s="20"/>
      <c r="AQ9" s="20"/>
      <c r="AR9" s="20"/>
      <c r="AS9" s="20"/>
      <c r="AU9" s="19"/>
    </row>
    <row r="10" spans="1:54" ht="12.6" customHeight="1">
      <c r="A10" s="910" t="s">
        <v>365</v>
      </c>
      <c r="B10" s="179"/>
      <c r="C10" s="909">
        <f>SUM(D10:AD10)</f>
        <v>103178.70257000001</v>
      </c>
      <c r="D10" s="426">
        <f>IF(D3&gt;'Project Assumptions'!$I$16,0,'Book Income Statement'!D66)</f>
        <v>9138.4678000000004</v>
      </c>
      <c r="E10" s="426">
        <f>IF(E3&gt;'Project Assumptions'!$I$16,0,'Book Income Statement'!E66)</f>
        <v>8819.0619999999999</v>
      </c>
      <c r="F10" s="426">
        <f>IF(F3&gt;'Project Assumptions'!$I$16,0,'Book Income Statement'!F66)</f>
        <v>8499.6562000000013</v>
      </c>
      <c r="G10" s="426">
        <f>IF(G3&gt;'Project Assumptions'!$I$16,0,'Book Income Statement'!G66)</f>
        <v>8048.04792</v>
      </c>
      <c r="H10" s="426">
        <f>IF(H3&gt;'Project Assumptions'!$I$16,0,'Book Income Statement'!H66)</f>
        <v>7464.2371600000006</v>
      </c>
      <c r="I10" s="426">
        <f>IF(I3&gt;'Project Assumptions'!$I$16,0,'Book Income Statement'!I66)</f>
        <v>7095.4962999999998</v>
      </c>
      <c r="J10" s="426">
        <f>IF(J3&gt;'Project Assumptions'!$I$16,0,'Book Income Statement'!J66)</f>
        <v>6726.7554399999999</v>
      </c>
      <c r="K10" s="426">
        <f>IF(K3&gt;'Project Assumptions'!$I$16,0,'Book Income Statement'!K66)</f>
        <v>6305.84663</v>
      </c>
      <c r="L10" s="426">
        <f>IF(L3&gt;'Project Assumptions'!$I$16,0,'Book Income Statement'!L66)</f>
        <v>5884.9378200000001</v>
      </c>
      <c r="M10" s="426">
        <f>IF(M3&gt;'Project Assumptions'!$I$16,0,'Book Income Statement'!M66)</f>
        <v>5199.6240500000004</v>
      </c>
      <c r="N10" s="426">
        <f>IF(N3&gt;'Project Assumptions'!$I$16,0,'Book Income Statement'!N66)</f>
        <v>4329.9398499999998</v>
      </c>
      <c r="O10" s="426">
        <f>IF(O3&gt;'Project Assumptions'!$I$16,0,'Book Income Statement'!O66)</f>
        <v>4121.2680499999997</v>
      </c>
      <c r="P10" s="426">
        <f>IF(P3&gt;'Project Assumptions'!$I$16,0,'Book Income Statement'!P66)</f>
        <v>3860.4283</v>
      </c>
      <c r="Q10" s="426">
        <f>IF(Q3&gt;'Project Assumptions'!$I$16,0,'Book Income Statement'!Q66)</f>
        <v>3599.5885499999999</v>
      </c>
      <c r="R10" s="426">
        <f>IF(R3&gt;'Project Assumptions'!$I$16,0,'Book Income Statement'!R66)</f>
        <v>3338.7487999999998</v>
      </c>
      <c r="S10" s="426">
        <f>IF(S3&gt;'Project Assumptions'!$I$16,0,'Book Income Statement'!S66)</f>
        <v>3077.9090499999998</v>
      </c>
      <c r="T10" s="426">
        <f>IF(T3&gt;'Project Assumptions'!$I$16,0,'Book Income Statement'!T66)</f>
        <v>2817.0693000000001</v>
      </c>
      <c r="U10" s="426">
        <f>IF(U3&gt;'Project Assumptions'!$I$16,0,'Book Income Statement'!U66)</f>
        <v>2295.3897999999999</v>
      </c>
      <c r="V10" s="426">
        <f>IF(V3&gt;'Project Assumptions'!$I$16,0,'Book Income Statement'!V66)</f>
        <v>1669.3743999999999</v>
      </c>
      <c r="W10" s="426">
        <f>IF(W3&gt;'Project Assumptions'!$I$16,0,'Book Income Statement'!W66)</f>
        <v>886.85514999999998</v>
      </c>
      <c r="X10" s="426">
        <f>IF(X3&gt;'Project Assumptions'!$I$16+1,0,'Book Income Statement'!X66)</f>
        <v>0</v>
      </c>
      <c r="Y10" s="426">
        <f>IF(Y3&gt;'Project Assumptions'!$I$16,0,'Book Income Statement'!Y66)</f>
        <v>0</v>
      </c>
      <c r="Z10" s="426">
        <f>IF(Z3&gt;'Project Assumptions'!$I$16,0,'Book Income Statement'!Z66)</f>
        <v>0</v>
      </c>
      <c r="AA10" s="426">
        <f>IF(AA3&gt;'Project Assumptions'!$I$16,0,'Book Income Statement'!AA66)</f>
        <v>0</v>
      </c>
      <c r="AB10" s="913">
        <f>IF(AB3&gt;'Project Assumptions'!$I$16,0,'Book Income Statement'!AB66)</f>
        <v>0</v>
      </c>
      <c r="AC10" s="420"/>
      <c r="AD10" s="18"/>
      <c r="AF10" s="19"/>
      <c r="AU10" s="19"/>
    </row>
    <row r="11" spans="1:54" ht="12.6" customHeight="1">
      <c r="A11" s="910" t="s">
        <v>28</v>
      </c>
      <c r="B11" s="179"/>
      <c r="C11" s="909">
        <f>SUM(D11:AD11)</f>
        <v>103178.70257000001</v>
      </c>
      <c r="D11" s="426">
        <f>'Debt Amortization'!E$52</f>
        <v>9138.4678000000004</v>
      </c>
      <c r="E11" s="426">
        <f>'Debt Amortization'!F$52</f>
        <v>8819.0619999999999</v>
      </c>
      <c r="F11" s="426">
        <f>'Debt Amortization'!G$52</f>
        <v>8499.6562000000013</v>
      </c>
      <c r="G11" s="426">
        <f>'Debt Amortization'!H$52</f>
        <v>8048.04792</v>
      </c>
      <c r="H11" s="426">
        <f>'Debt Amortization'!I$52</f>
        <v>7464.2371600000006</v>
      </c>
      <c r="I11" s="426">
        <f>'Debt Amortization'!J$52</f>
        <v>7095.4962999999998</v>
      </c>
      <c r="J11" s="426">
        <f>'Debt Amortization'!K$52</f>
        <v>6726.7554399999999</v>
      </c>
      <c r="K11" s="426">
        <f>'Debt Amortization'!L$52</f>
        <v>6305.84663</v>
      </c>
      <c r="L11" s="426">
        <f>'Debt Amortization'!M$52</f>
        <v>5884.9378200000001</v>
      </c>
      <c r="M11" s="426">
        <f>'Debt Amortization'!N$52</f>
        <v>5199.6240500000004</v>
      </c>
      <c r="N11" s="426">
        <f>'Debt Amortization'!O$52</f>
        <v>4329.9398499999998</v>
      </c>
      <c r="O11" s="426">
        <f>'Debt Amortization'!P$52</f>
        <v>4121.2680499999997</v>
      </c>
      <c r="P11" s="426">
        <f>'Debt Amortization'!Q$52</f>
        <v>3860.4283</v>
      </c>
      <c r="Q11" s="426">
        <f>'Debt Amortization'!R$52</f>
        <v>3599.5885499999999</v>
      </c>
      <c r="R11" s="426">
        <f>'Debt Amortization'!S$52</f>
        <v>3338.7487999999998</v>
      </c>
      <c r="S11" s="426">
        <f>'Debt Amortization'!T$52</f>
        <v>3077.9090499999998</v>
      </c>
      <c r="T11" s="426">
        <f>'Debt Amortization'!U$52</f>
        <v>2817.0693000000001</v>
      </c>
      <c r="U11" s="426">
        <f>'Debt Amortization'!V$52</f>
        <v>2295.3897999999999</v>
      </c>
      <c r="V11" s="426">
        <f>'Debt Amortization'!W$52</f>
        <v>1669.3743999999999</v>
      </c>
      <c r="W11" s="426">
        <f>'Debt Amortization'!X$52</f>
        <v>886.85514999999998</v>
      </c>
      <c r="X11" s="426">
        <f>'Debt Amortization'!Y$52</f>
        <v>0</v>
      </c>
      <c r="Y11" s="426">
        <f>'Debt Amortization'!Z$52</f>
        <v>0</v>
      </c>
      <c r="Z11" s="426">
        <f>'Debt Amortization'!AA$52</f>
        <v>0</v>
      </c>
      <c r="AA11" s="426">
        <f>'Debt Amortization'!AB$52</f>
        <v>0</v>
      </c>
      <c r="AB11" s="426">
        <f>'Debt Amortization'!AC$52</f>
        <v>0</v>
      </c>
      <c r="AC11" s="420"/>
      <c r="AD11" s="18"/>
      <c r="AF11" s="19"/>
      <c r="AP11" s="20"/>
      <c r="AQ11" s="20"/>
      <c r="AR11" s="20"/>
      <c r="AS11" s="20"/>
      <c r="AU11" s="19"/>
    </row>
    <row r="12" spans="1:54" ht="12.6" customHeight="1">
      <c r="A12" s="779" t="s">
        <v>29</v>
      </c>
      <c r="B12" s="179"/>
      <c r="C12" s="896"/>
      <c r="D12" s="914">
        <f>IF(D3&gt;'Project Assumptions'!$I$16,0,'Debt Amortization'!E$53)</f>
        <v>4746</v>
      </c>
      <c r="E12" s="914">
        <f>IF(E3&gt;'Project Assumptions'!$I$16,0,'Debt Amortization'!F$53)</f>
        <v>4746</v>
      </c>
      <c r="F12" s="914">
        <f>IF(F3&gt;'Project Assumptions'!$I$16,0,'Debt Amortization'!G$53)</f>
        <v>6492.4</v>
      </c>
      <c r="G12" s="914">
        <f>IF(G3&gt;'Project Assumptions'!$I$16,0,'Debt Amortization'!H$53)</f>
        <v>8238.7999999999993</v>
      </c>
      <c r="H12" s="914">
        <f>IF(H3&gt;'Project Assumptions'!$I$16,0,'Debt Amortization'!I$53)</f>
        <v>4768.3</v>
      </c>
      <c r="I12" s="914">
        <f>IF(I3&gt;'Project Assumptions'!$I$16,0,'Debt Amortization'!J$53)</f>
        <v>4768.3</v>
      </c>
      <c r="J12" s="914">
        <f>IF(J3&gt;'Project Assumptions'!$I$16,0,'Debt Amortization'!K$53)</f>
        <v>5406.05</v>
      </c>
      <c r="K12" s="914">
        <f>IF(K3&gt;'Project Assumptions'!$I$16,0,'Debt Amortization'!L$53)</f>
        <v>5406.05</v>
      </c>
      <c r="L12" s="914">
        <f>IF(L3&gt;'Project Assumptions'!$I$16,0,'Debt Amortization'!M$53)</f>
        <v>8898.85</v>
      </c>
      <c r="M12" s="914">
        <f>IF(M3&gt;'Project Assumptions'!$I$16,0,'Debt Amortization'!N$53)</f>
        <v>11283</v>
      </c>
      <c r="N12" s="914">
        <f>IF(N3&gt;'Project Assumptions'!$I$16,0,'Debt Amortization'!O$53)</f>
        <v>2551</v>
      </c>
      <c r="O12" s="914">
        <f>IF(O3&gt;'Project Assumptions'!$I$16,0,'Debt Amortization'!P$53)</f>
        <v>3188.75</v>
      </c>
      <c r="P12" s="914">
        <f>IF(P3&gt;'Project Assumptions'!$I$16,0,'Debt Amortization'!Q$53)</f>
        <v>3188.75</v>
      </c>
      <c r="Q12" s="914">
        <f>IF(Q3&gt;'Project Assumptions'!$I$16,0,'Debt Amortization'!R$53)</f>
        <v>3188.75</v>
      </c>
      <c r="R12" s="914">
        <f>IF(R3&gt;'Project Assumptions'!$I$16,0,'Debt Amortization'!S$53)</f>
        <v>3188.75</v>
      </c>
      <c r="S12" s="914">
        <f>IF(S3&gt;'Project Assumptions'!$I$16,0,'Debt Amortization'!T$53)</f>
        <v>3188.75</v>
      </c>
      <c r="T12" s="914">
        <f>IF(T3&gt;'Project Assumptions'!$I$16,0,'Debt Amortization'!U$53)</f>
        <v>6377.5</v>
      </c>
      <c r="U12" s="914">
        <f>IF(U3&gt;'Project Assumptions'!$I$16,0,'Debt Amortization'!V$53)</f>
        <v>7653</v>
      </c>
      <c r="V12" s="914">
        <f>IF(V3&gt;'Project Assumptions'!$I$16,0,'Debt Amortization'!W$53)</f>
        <v>9566.25</v>
      </c>
      <c r="W12" s="914">
        <f>IF(W3&gt;'Project Assumptions'!$I$16,0,'Debt Amortization'!X$53)</f>
        <v>10841.75</v>
      </c>
      <c r="X12" s="914">
        <f>IF(X3&gt;'Project Assumptions'!$I$16+1,0,'Debt Amortization'!Y$53)</f>
        <v>0</v>
      </c>
      <c r="Y12" s="914">
        <f>IF(Y3&gt;'Project Assumptions'!$I$16,0,'Debt Amortization'!Z$53)</f>
        <v>0</v>
      </c>
      <c r="Z12" s="914">
        <f>IF(Z3&gt;'Project Assumptions'!$I$16,0,'Debt Amortization'!AA$53)</f>
        <v>0</v>
      </c>
      <c r="AA12" s="914">
        <f>IF(AA3&gt;'Project Assumptions'!$I$16,0,'Debt Amortization'!AB$53)</f>
        <v>0</v>
      </c>
      <c r="AB12" s="915">
        <f>IF(AB3&gt;'Project Assumptions'!$I$16,0,'Debt Amortization'!AC$53)</f>
        <v>0</v>
      </c>
      <c r="AF12" s="19"/>
      <c r="AU12" s="19"/>
    </row>
    <row r="13" spans="1:54" ht="12.6" customHeight="1">
      <c r="A13" s="795" t="s">
        <v>132</v>
      </c>
      <c r="B13" s="179"/>
      <c r="C13" s="896"/>
      <c r="D13" s="426">
        <f>IF(D3&gt;'Project Assumptions'!$I$16,0,D6+D7+D8-D9+D10-D11-D12)</f>
        <v>-5718.3348220110347</v>
      </c>
      <c r="E13" s="426">
        <f>IF(E3&gt;'Project Assumptions'!$I$16,0,E6+E7+E8-E9+E10-E11-E12)</f>
        <v>6459.9728419598159</v>
      </c>
      <c r="F13" s="426">
        <f>IF(F3&gt;'Project Assumptions'!$I$16,0,F6+F7+F8-F9+F10-F11-F12)</f>
        <v>4731.4671029329893</v>
      </c>
      <c r="G13" s="426">
        <f>IF(G3&gt;'Project Assumptions'!$I$16,0,G6+G7+G8-G9+G10-G11-G12)</f>
        <v>3389.9846628584201</v>
      </c>
      <c r="H13" s="426">
        <f>IF(H3&gt;'Project Assumptions'!$I$16,0,H6+H7+H8-H9+H10-H11-H12)</f>
        <v>13139.534775459859</v>
      </c>
      <c r="I13" s="426">
        <f>IF(I3&gt;'Project Assumptions'!$I$16,0,I6+I7+I8-I9+I10-I11-I12)</f>
        <v>17942.427757468977</v>
      </c>
      <c r="J13" s="426">
        <f>IF(J3&gt;'Project Assumptions'!$I$16,0,J6+J7+J8-J9+J10-J11-J12)</f>
        <v>17991.871061833543</v>
      </c>
      <c r="K13" s="426">
        <f>IF(K3&gt;'Project Assumptions'!$I$16,0,K6+K7+K8-K9+K10-K11-K12)</f>
        <v>18722.450048089704</v>
      </c>
      <c r="L13" s="426">
        <f>IF(L3&gt;'Project Assumptions'!$I$16,0,L6+L7+L8-L9+L10-L11-L12)</f>
        <v>16595.068490032951</v>
      </c>
      <c r="M13" s="426">
        <f>IF(M3&gt;'Project Assumptions'!$I$16,0,M6+M7+M8-M9+M10-M11-M12)</f>
        <v>15210.451605659378</v>
      </c>
      <c r="N13" s="426">
        <f>IF(N3&gt;'Project Assumptions'!$I$16,0,N6+N7+N8-N9+N10-N11-N12)</f>
        <v>25793.465685335803</v>
      </c>
      <c r="O13" s="426">
        <f>IF(O3&gt;'Project Assumptions'!$I$16,0,O6+O7+O8-O9+O10-O11-O12)</f>
        <v>25672.012405721653</v>
      </c>
      <c r="P13" s="426">
        <f>IF(P3&gt;'Project Assumptions'!$I$16,0,P6+P7+P8-P9+P10-P11-P12)</f>
        <v>26159.49496336947</v>
      </c>
      <c r="Q13" s="426">
        <f>IF(Q3&gt;'Project Assumptions'!$I$16,0,Q6+Q7+Q8-Q9+Q10-Q11-Q12)</f>
        <v>26796.333258146493</v>
      </c>
      <c r="R13" s="426">
        <f>IF(R3&gt;'Project Assumptions'!$I$16,0,R6+R7+R8-R9+R10-R11-R12)</f>
        <v>27436.337592900971</v>
      </c>
      <c r="S13" s="426">
        <f>IF(S3&gt;'Project Assumptions'!$I$16,0,S6+S7+S8-S9+S10-S11-S12)</f>
        <v>28061.795736944758</v>
      </c>
      <c r="T13" s="426">
        <f>IF(T3&gt;'Project Assumptions'!$I$16,0,T6+T7+T8-T9+T10-T11-T12)</f>
        <v>25483.25069025379</v>
      </c>
      <c r="U13" s="426">
        <f>IF(U3&gt;'Project Assumptions'!$I$16,0,U6+U7+U8-U9+U10-U11-U12)</f>
        <v>25095.439511116983</v>
      </c>
      <c r="V13" s="426">
        <f>IF(V3&gt;'Project Assumptions'!$I$16,0,V6+V7+V8-V9+V10-V11-V12)</f>
        <v>24172.775148132569</v>
      </c>
      <c r="W13" s="426">
        <f>IF(W3&gt;'Project Assumptions'!$I$16,0,W6+W7+W8-W9+W10-W11-W12)</f>
        <v>24023.743397389881</v>
      </c>
      <c r="X13" s="426">
        <f>IF(X3&gt;'Project Assumptions'!$I$16+1,0,X6+X7+X8-X9+X10-X11-X12)</f>
        <v>35975.098391527354</v>
      </c>
      <c r="Y13" s="426">
        <f>IF(Y3&gt;'Project Assumptions'!$I$16,0,Y6+Y7+Y8-Y9+Y10-Y11-Y12)</f>
        <v>0</v>
      </c>
      <c r="Z13" s="426">
        <f>IF(Z3&gt;'Project Assumptions'!$I$16,0,Z6+Z7+Z8-Z9+Z10-Z11-Z12)</f>
        <v>0</v>
      </c>
      <c r="AA13" s="426">
        <f>IF(AA3&gt;'Project Assumptions'!$I$16,0,AA6+AA7+AA8-AA9+AA10-AA11-AA12)</f>
        <v>0</v>
      </c>
      <c r="AB13" s="913">
        <f>IF(AB3&gt;'Project Assumptions'!$I$16,0,AB6+AB7+AB8-AB9+AB10-AB11-AB12)</f>
        <v>0</v>
      </c>
      <c r="AF13" s="19"/>
      <c r="AU13" s="19"/>
    </row>
    <row r="14" spans="1:54" ht="12.6" customHeight="1">
      <c r="A14" s="779"/>
      <c r="B14" s="179"/>
      <c r="C14" s="896"/>
      <c r="D14" s="426"/>
      <c r="E14" s="426"/>
      <c r="F14" s="426"/>
      <c r="G14" s="426"/>
      <c r="H14" s="426"/>
      <c r="I14" s="426"/>
      <c r="J14" s="426"/>
      <c r="K14" s="426"/>
      <c r="L14" s="426"/>
      <c r="M14" s="426"/>
      <c r="N14" s="426"/>
      <c r="O14" s="426"/>
      <c r="P14" s="426"/>
      <c r="Q14" s="426"/>
      <c r="R14" s="426"/>
      <c r="S14" s="426"/>
      <c r="T14" s="426"/>
      <c r="U14" s="426"/>
      <c r="V14" s="426"/>
      <c r="W14" s="426"/>
      <c r="X14" s="426"/>
      <c r="Y14" s="426"/>
      <c r="Z14" s="426"/>
      <c r="AA14" s="426"/>
      <c r="AB14" s="913"/>
      <c r="AF14" s="19"/>
      <c r="AU14" s="19"/>
    </row>
    <row r="15" spans="1:54" ht="12.6" customHeight="1">
      <c r="A15" s="779" t="s">
        <v>131</v>
      </c>
      <c r="B15" s="179"/>
      <c r="C15" s="896"/>
      <c r="D15" s="426">
        <v>0</v>
      </c>
      <c r="E15" s="426">
        <v>0</v>
      </c>
      <c r="F15" s="426">
        <v>0</v>
      </c>
      <c r="G15" s="426">
        <v>0</v>
      </c>
      <c r="H15" s="426">
        <v>0</v>
      </c>
      <c r="I15" s="426">
        <v>0</v>
      </c>
      <c r="J15" s="426">
        <v>0</v>
      </c>
      <c r="K15" s="426">
        <v>0</v>
      </c>
      <c r="L15" s="426">
        <v>0</v>
      </c>
      <c r="M15" s="426">
        <v>0</v>
      </c>
      <c r="N15" s="426">
        <v>0</v>
      </c>
      <c r="O15" s="426">
        <v>0</v>
      </c>
      <c r="P15" s="426">
        <v>0</v>
      </c>
      <c r="Q15" s="426">
        <v>0</v>
      </c>
      <c r="R15" s="426">
        <v>0</v>
      </c>
      <c r="S15" s="426">
        <v>0</v>
      </c>
      <c r="T15" s="426">
        <v>0</v>
      </c>
      <c r="U15" s="426">
        <v>0</v>
      </c>
      <c r="V15" s="426">
        <v>0</v>
      </c>
      <c r="W15" s="426">
        <v>0</v>
      </c>
      <c r="X15" s="426">
        <v>0</v>
      </c>
      <c r="Y15" s="426">
        <v>0</v>
      </c>
      <c r="Z15" s="426">
        <v>0</v>
      </c>
      <c r="AA15" s="426">
        <v>0</v>
      </c>
      <c r="AB15" s="913">
        <v>0</v>
      </c>
      <c r="AF15" s="19"/>
      <c r="AU15" s="19"/>
    </row>
    <row r="16" spans="1:54" s="21" customFormat="1" ht="12.6" customHeight="1">
      <c r="A16" s="779" t="s">
        <v>133</v>
      </c>
      <c r="B16" s="179"/>
      <c r="C16" s="909">
        <f>SUM(D16:AD16)</f>
        <v>0</v>
      </c>
      <c r="D16" s="426">
        <v>0</v>
      </c>
      <c r="E16" s="426">
        <v>0</v>
      </c>
      <c r="F16" s="426">
        <v>0</v>
      </c>
      <c r="G16" s="426">
        <v>0</v>
      </c>
      <c r="H16" s="426">
        <v>0</v>
      </c>
      <c r="I16" s="426">
        <v>0</v>
      </c>
      <c r="J16" s="426">
        <v>0</v>
      </c>
      <c r="K16" s="426">
        <v>0</v>
      </c>
      <c r="L16" s="426">
        <v>0</v>
      </c>
      <c r="M16" s="426">
        <v>0</v>
      </c>
      <c r="N16" s="426">
        <v>0</v>
      </c>
      <c r="O16" s="426">
        <v>0</v>
      </c>
      <c r="P16" s="426">
        <v>0</v>
      </c>
      <c r="Q16" s="426">
        <v>0</v>
      </c>
      <c r="R16" s="426">
        <v>0</v>
      </c>
      <c r="S16" s="426">
        <v>0</v>
      </c>
      <c r="T16" s="426">
        <v>0</v>
      </c>
      <c r="U16" s="426">
        <v>0</v>
      </c>
      <c r="V16" s="426">
        <v>0</v>
      </c>
      <c r="W16" s="426">
        <v>0</v>
      </c>
      <c r="X16" s="426">
        <v>0</v>
      </c>
      <c r="Y16" s="426">
        <v>0</v>
      </c>
      <c r="Z16" s="426">
        <v>0</v>
      </c>
      <c r="AA16" s="426">
        <v>0</v>
      </c>
      <c r="AB16" s="913">
        <v>0</v>
      </c>
      <c r="AC16" s="179"/>
      <c r="AF16" s="22"/>
      <c r="AU16" s="22"/>
    </row>
    <row r="17" spans="1:47" s="21" customFormat="1" ht="12.6" customHeight="1">
      <c r="A17" s="779" t="s">
        <v>655</v>
      </c>
      <c r="B17" s="179"/>
      <c r="C17" s="909"/>
      <c r="D17" s="426">
        <v>0</v>
      </c>
      <c r="E17" s="1147">
        <f>6*500</f>
        <v>3000</v>
      </c>
      <c r="F17" s="426">
        <v>0</v>
      </c>
      <c r="G17" s="426">
        <v>0</v>
      </c>
      <c r="H17" s="426">
        <v>0</v>
      </c>
      <c r="I17" s="426">
        <v>0</v>
      </c>
      <c r="J17" s="426">
        <v>0</v>
      </c>
      <c r="K17" s="426">
        <v>0</v>
      </c>
      <c r="L17" s="426">
        <v>0</v>
      </c>
      <c r="M17" s="426">
        <v>0</v>
      </c>
      <c r="N17" s="426">
        <v>0</v>
      </c>
      <c r="O17" s="426">
        <v>0</v>
      </c>
      <c r="P17" s="426">
        <v>0</v>
      </c>
      <c r="Q17" s="426">
        <v>0</v>
      </c>
      <c r="R17" s="426">
        <v>0</v>
      </c>
      <c r="S17" s="426">
        <v>0</v>
      </c>
      <c r="T17" s="426">
        <v>0</v>
      </c>
      <c r="U17" s="426">
        <v>0</v>
      </c>
      <c r="V17" s="426">
        <v>0</v>
      </c>
      <c r="W17" s="426">
        <v>0</v>
      </c>
      <c r="X17" s="426">
        <v>0</v>
      </c>
      <c r="Y17" s="426">
        <v>0</v>
      </c>
      <c r="Z17" s="426">
        <v>0</v>
      </c>
      <c r="AA17" s="426">
        <v>0</v>
      </c>
      <c r="AB17" s="913">
        <v>0</v>
      </c>
      <c r="AC17" s="179"/>
      <c r="AF17" s="22"/>
      <c r="AU17" s="22"/>
    </row>
    <row r="18" spans="1:47" s="21" customFormat="1" ht="12.6" customHeight="1">
      <c r="A18" s="779" t="s">
        <v>134</v>
      </c>
      <c r="B18" s="179"/>
      <c r="C18" s="909"/>
      <c r="D18" s="426">
        <v>0</v>
      </c>
      <c r="E18" s="426">
        <v>0</v>
      </c>
      <c r="F18" s="426">
        <v>0</v>
      </c>
      <c r="G18" s="426">
        <v>0</v>
      </c>
      <c r="H18" s="426">
        <v>0</v>
      </c>
      <c r="I18" s="426">
        <v>0</v>
      </c>
      <c r="J18" s="426">
        <v>0</v>
      </c>
      <c r="K18" s="426">
        <v>0</v>
      </c>
      <c r="L18" s="426">
        <v>0</v>
      </c>
      <c r="M18" s="426">
        <v>0</v>
      </c>
      <c r="N18" s="426">
        <v>0</v>
      </c>
      <c r="O18" s="426">
        <v>0</v>
      </c>
      <c r="P18" s="426">
        <v>0</v>
      </c>
      <c r="Q18" s="426">
        <v>0</v>
      </c>
      <c r="R18" s="426">
        <v>0</v>
      </c>
      <c r="S18" s="426">
        <v>0</v>
      </c>
      <c r="T18" s="426">
        <v>0</v>
      </c>
      <c r="U18" s="426">
        <v>0</v>
      </c>
      <c r="V18" s="426">
        <v>0</v>
      </c>
      <c r="W18" s="426">
        <v>0</v>
      </c>
      <c r="X18" s="426">
        <v>0</v>
      </c>
      <c r="Y18" s="426">
        <v>0</v>
      </c>
      <c r="Z18" s="426">
        <v>0</v>
      </c>
      <c r="AA18" s="426">
        <v>0</v>
      </c>
      <c r="AB18" s="913">
        <v>0</v>
      </c>
      <c r="AC18" s="179"/>
      <c r="AF18" s="22"/>
      <c r="AU18" s="22"/>
    </row>
    <row r="19" spans="1:47" ht="12.6" customHeight="1">
      <c r="A19" s="779"/>
      <c r="B19" s="179"/>
      <c r="C19" s="909"/>
      <c r="D19" s="437"/>
      <c r="E19" s="179"/>
      <c r="F19" s="179"/>
      <c r="G19" s="179"/>
      <c r="H19" s="179"/>
      <c r="I19" s="179"/>
      <c r="J19" s="179"/>
      <c r="K19" s="179"/>
      <c r="L19" s="179"/>
      <c r="M19" s="179"/>
      <c r="N19" s="179"/>
      <c r="O19" s="179"/>
      <c r="P19" s="179"/>
      <c r="Q19" s="179"/>
      <c r="R19" s="179"/>
      <c r="S19" s="179"/>
      <c r="T19" s="179"/>
      <c r="U19" s="179"/>
      <c r="V19" s="179"/>
      <c r="W19" s="179"/>
      <c r="X19" s="179"/>
      <c r="Y19" s="179"/>
      <c r="Z19" s="179"/>
      <c r="AA19" s="179"/>
      <c r="AB19" s="782"/>
      <c r="AF19" s="19"/>
      <c r="AU19" s="19"/>
    </row>
    <row r="20" spans="1:47" ht="12.6" customHeight="1">
      <c r="A20" s="908" t="s">
        <v>30</v>
      </c>
      <c r="B20" s="916"/>
      <c r="C20" s="438">
        <f>SUM(C6:C12)</f>
        <v>726846.2189612611</v>
      </c>
      <c r="D20" s="422">
        <f>IF(D3&gt;'Project Assumptions'!$I$16,0,D6+D7+D8-D9+D10-D11-D12-D16-D18-D15)</f>
        <v>-5718.3348220110347</v>
      </c>
      <c r="E20" s="422">
        <f>IF(E3&gt;'Project Assumptions'!$I$16,0,E6+E7+E8-E9+E10-E11-E12-E16-E17-E18-E15)</f>
        <v>3459.9728419598159</v>
      </c>
      <c r="F20" s="422">
        <f>IF(F3&gt;'Project Assumptions'!$I$16,0,F6+F7+F8-F9+F10-F11-F12-F16-F18-F15)</f>
        <v>4731.4671029329893</v>
      </c>
      <c r="G20" s="422">
        <f>IF(G3&gt;'Project Assumptions'!$I$16,0,G6+G7+G8-G9+G10-G11-G12-G16-G18-G15)</f>
        <v>3389.9846628584201</v>
      </c>
      <c r="H20" s="422">
        <f>IF(H3&gt;'Project Assumptions'!$I$16,0,H6+H7+H8-H9+H10-H11-H12-H16-H18-H15)</f>
        <v>13139.534775459859</v>
      </c>
      <c r="I20" s="422">
        <f>IF(I3&gt;'Project Assumptions'!$I$16,0,I6+I7+I8-I9+I10-I11-I12-I16-I18-I15)</f>
        <v>17942.427757468977</v>
      </c>
      <c r="J20" s="422">
        <f>IF(J3&gt;'Project Assumptions'!$I$16,0,J6+J7+J8-J9+J10-J11-J12-J16-J18-J15)</f>
        <v>17991.871061833543</v>
      </c>
      <c r="K20" s="422">
        <f>IF(K3&gt;'Project Assumptions'!$I$16,0,K6+K7+K8-K9+K10-K11-K12-K16-K18-K15)</f>
        <v>18722.450048089704</v>
      </c>
      <c r="L20" s="422">
        <f>IF(L3&gt;'Project Assumptions'!$I$16,0,L6+L7+L8-L9+L10-L11-L12-L16-L18-L15)</f>
        <v>16595.068490032951</v>
      </c>
      <c r="M20" s="422">
        <f>IF(M3&gt;'Project Assumptions'!$I$16,0,M6+M7+M8-M9+M10-M11-M12-M16-M18-M15)</f>
        <v>15210.451605659378</v>
      </c>
      <c r="N20" s="422">
        <f>IF(N3&gt;'Project Assumptions'!$I$16,0,N6+N7+N8-N9+N10-N11-N12-N16-N18-N15)</f>
        <v>25793.465685335803</v>
      </c>
      <c r="O20" s="422">
        <f>IF(O3&gt;'Project Assumptions'!$I$16,0,O6+O7+O8-O9+O10-O11-O12-O16-O18-O15)</f>
        <v>25672.012405721653</v>
      </c>
      <c r="P20" s="422">
        <f>IF(P3&gt;'Project Assumptions'!$I$16,0,P6+P7+P8-P9+P10-P11-P12-P16-P18-P15)</f>
        <v>26159.49496336947</v>
      </c>
      <c r="Q20" s="422">
        <f>IF(Q3&gt;'Project Assumptions'!$I$16,0,Q6+Q7+Q8-Q9+Q10-Q11-Q12-Q16-Q18-Q15)</f>
        <v>26796.333258146493</v>
      </c>
      <c r="R20" s="422">
        <f>IF(R3&gt;'Project Assumptions'!$I$16,0,R6+R7+R8-R9+R10-R11-R12-R16-R18-R15)</f>
        <v>27436.337592900971</v>
      </c>
      <c r="S20" s="422">
        <f>IF(S3&gt;'Project Assumptions'!$I$16,0,S6+S7+S8-S9+S10-S11-S12-S16-S18-S15)</f>
        <v>28061.795736944758</v>
      </c>
      <c r="T20" s="422">
        <f>IF(T3&gt;'Project Assumptions'!$I$16,0,T6+T7+T8-T9+T10-T11-T12-T16-T18-T15)</f>
        <v>25483.25069025379</v>
      </c>
      <c r="U20" s="422">
        <f>IF(U3&gt;'Project Assumptions'!$I$16,0,U6+U7+U8-U9+U10-U11-U12-U16-U18-U15)</f>
        <v>25095.439511116983</v>
      </c>
      <c r="V20" s="422">
        <f>IF(V3&gt;'Project Assumptions'!$I$16,0,V6+V7+V8-V9+V10-V11-V12-V16-V18-V15)</f>
        <v>24172.775148132569</v>
      </c>
      <c r="W20" s="422">
        <f>IF(W3&gt;'Project Assumptions'!$I$16,0,W6+W7+W8-W9+W10-W11-W12-W16-W18-W15)</f>
        <v>24023.743397389881</v>
      </c>
      <c r="X20" s="422">
        <f>IF(X3&gt;'Project Assumptions'!$I$16+1,0,X6+X7+X8-X9+X10-X11-X12-X16-X18-X15)</f>
        <v>35975.098391527354</v>
      </c>
      <c r="Y20" s="422">
        <f>IF(Y3&gt;'Project Assumptions'!$I$16,0,Y6+Y7+Y8-Y9+Y10-Y11-Y12-Y16-Y18-Y15)</f>
        <v>0</v>
      </c>
      <c r="Z20" s="422">
        <f>IF(Z3&gt;'Project Assumptions'!$I$16,0,Z6+Z7+Z8-Z9+Z10-Z11-Z12-Z16-Z18-Z15)</f>
        <v>0</v>
      </c>
      <c r="AA20" s="422">
        <f>IF(AA3&gt;'Project Assumptions'!$I$16,0,AA6+AA7+AA8-AA9+AA10-AA11-AA12-AA16-AA18-AA15)</f>
        <v>0</v>
      </c>
      <c r="AB20" s="911">
        <f>IF(AB3&gt;'Project Assumptions'!$I$16,0,AB6+AB7+AB8-AB9+AB10-AB11-AB12-AB16-AB18-AB15)</f>
        <v>0</v>
      </c>
      <c r="AC20" s="420"/>
      <c r="AD20" s="18"/>
      <c r="AF20" s="19"/>
      <c r="AP20" s="20"/>
      <c r="AQ20" s="20"/>
      <c r="AR20" s="20"/>
      <c r="AS20" s="20"/>
      <c r="AU20" s="19"/>
    </row>
    <row r="21" spans="1:47" s="23" customFormat="1" ht="12.6" customHeight="1">
      <c r="A21" s="779" t="s">
        <v>135</v>
      </c>
      <c r="B21" s="432"/>
      <c r="C21" s="917"/>
      <c r="D21" s="439">
        <f>'Tax Calculations'!D37+'Tax Calculations'!D54</f>
        <v>0</v>
      </c>
      <c r="E21" s="439">
        <f>'Tax Calculations'!E37+'Tax Calculations'!E54</f>
        <v>0</v>
      </c>
      <c r="F21" s="439">
        <f>'Tax Calculations'!F37+'Tax Calculations'!F54</f>
        <v>0</v>
      </c>
      <c r="G21" s="439">
        <f>'Tax Calculations'!G37+'Tax Calculations'!G54</f>
        <v>0</v>
      </c>
      <c r="H21" s="439">
        <f>'Tax Calculations'!H37+'Tax Calculations'!H54</f>
        <v>0</v>
      </c>
      <c r="I21" s="439">
        <f>'Tax Calculations'!I37+'Tax Calculations'!I54</f>
        <v>1098.8741355818192</v>
      </c>
      <c r="J21" s="439">
        <f>'Tax Calculations'!J37+'Tax Calculations'!J54</f>
        <v>5474.8439139005832</v>
      </c>
      <c r="K21" s="439">
        <f>'Tax Calculations'!K37+'Tax Calculations'!K54</f>
        <v>5754.4635681901927</v>
      </c>
      <c r="L21" s="439">
        <f>'Tax Calculations'!L37+'Tax Calculations'!L54</f>
        <v>6282.3566990214858</v>
      </c>
      <c r="M21" s="439">
        <f>'Tax Calculations'!M37+'Tax Calculations'!M54</f>
        <v>6659.0575389605929</v>
      </c>
      <c r="N21" s="439">
        <f>'Tax Calculations'!N37+'Tax Calculations'!N54</f>
        <v>7374.8127700594541</v>
      </c>
      <c r="O21" s="439">
        <f>'Tax Calculations'!O37+'Tax Calculations'!O54</f>
        <v>7261.1409766327133</v>
      </c>
      <c r="P21" s="439">
        <f>'Tax Calculations'!P37+'Tax Calculations'!P54</f>
        <v>7782.0978010882327</v>
      </c>
      <c r="Q21" s="439">
        <f>'Tax Calculations'!Q37+'Tax Calculations'!Q54</f>
        <v>8026.4331785563254</v>
      </c>
      <c r="R21" s="439">
        <f>'Tax Calculations'!R37+'Tax Calculations'!R54</f>
        <v>8276.8554133879115</v>
      </c>
      <c r="S21" s="439">
        <f>'Tax Calculations'!S37+'Tax Calculations'!S54</f>
        <v>10208.12930594466</v>
      </c>
      <c r="T21" s="439">
        <f>'Tax Calculations'!T37+'Tax Calculations'!T54</f>
        <v>12180.035966053129</v>
      </c>
      <c r="U21" s="439">
        <f>'Tax Calculations'!U37+'Tax Calculations'!U54</f>
        <v>12559.793496537182</v>
      </c>
      <c r="V21" s="439">
        <f>'Tax Calculations'!V37+'Tax Calculations'!V54</f>
        <v>12938.692502695645</v>
      </c>
      <c r="W21" s="439">
        <f>'Tax Calculations'!W37+'Tax Calculations'!W54</f>
        <v>13331.37476901327</v>
      </c>
      <c r="X21" s="439">
        <f>'Tax Calculations'!X37+'Tax Calculations'!X54</f>
        <v>13760.47513475921</v>
      </c>
      <c r="Y21" s="439">
        <f>'Tax Calculations'!Y37+'Tax Calculations'!Y54</f>
        <v>0</v>
      </c>
      <c r="Z21" s="439">
        <f>'Tax Calculations'!Z37+'Tax Calculations'!Z54</f>
        <v>0</v>
      </c>
      <c r="AA21" s="439">
        <f>'Tax Calculations'!AA37+'Tax Calculations'!AA54</f>
        <v>0</v>
      </c>
      <c r="AB21" s="918">
        <f>'Tax Calculations'!AB37+'Tax Calculations'!AB54</f>
        <v>0</v>
      </c>
      <c r="AC21" s="423"/>
      <c r="AD21" s="25"/>
      <c r="AF21" s="24"/>
      <c r="AP21" s="24"/>
      <c r="AQ21" s="24"/>
      <c r="AR21" s="24"/>
      <c r="AS21" s="24"/>
      <c r="AU21" s="24"/>
    </row>
    <row r="22" spans="1:47" s="34" customFormat="1" ht="12.6" customHeight="1">
      <c r="A22" s="919" t="s">
        <v>31</v>
      </c>
      <c r="B22" s="920"/>
      <c r="C22" s="921">
        <f>C20-C21</f>
        <v>726846.2189612611</v>
      </c>
      <c r="D22" s="922">
        <f>IF(D3&gt;'Project Assumptions'!$I$16,0,D20-D21)</f>
        <v>-5718.3348220110347</v>
      </c>
      <c r="E22" s="922">
        <f>IF(E3&gt;'Project Assumptions'!$I$16,0,E20-E21)</f>
        <v>3459.9728419598159</v>
      </c>
      <c r="F22" s="922">
        <f>IF(F3&gt;'Project Assumptions'!$I$16,0,F20-F21)</f>
        <v>4731.4671029329893</v>
      </c>
      <c r="G22" s="922">
        <f>IF(G3&gt;'Project Assumptions'!$I$16,0,G20-G21)</f>
        <v>3389.9846628584201</v>
      </c>
      <c r="H22" s="922">
        <f>IF(H3&gt;'Project Assumptions'!$I$16,0,H20-H21)</f>
        <v>13139.534775459859</v>
      </c>
      <c r="I22" s="922">
        <f>IF(I3&gt;'Project Assumptions'!$I$16,0,I20-I21)</f>
        <v>16843.553621887157</v>
      </c>
      <c r="J22" s="922">
        <f>IF(J3&gt;'Project Assumptions'!$I$16,0,J20-J21)</f>
        <v>12517.02714793296</v>
      </c>
      <c r="K22" s="922">
        <f>IF(K3&gt;'Project Assumptions'!$I$16,0,K20-K21)</f>
        <v>12967.986479899511</v>
      </c>
      <c r="L22" s="922">
        <f>IF(L3&gt;'Project Assumptions'!$I$16,0,L20-L21)</f>
        <v>10312.711791011465</v>
      </c>
      <c r="M22" s="922">
        <f>IF(M3&gt;'Project Assumptions'!$I$16,0,M20-M21)</f>
        <v>8551.3940666987855</v>
      </c>
      <c r="N22" s="922">
        <f>IF(N3&gt;'Project Assumptions'!$I$16,0,N20-N21)</f>
        <v>18418.652915276347</v>
      </c>
      <c r="O22" s="922">
        <f>IF(O3&gt;'Project Assumptions'!$I$16,0,O20-O21)</f>
        <v>18410.87142908894</v>
      </c>
      <c r="P22" s="922">
        <f>IF(P3&gt;'Project Assumptions'!$I$16,0,P20-P21)</f>
        <v>18377.397162281239</v>
      </c>
      <c r="Q22" s="922">
        <f>IF(Q3&gt;'Project Assumptions'!$I$16,0,Q20-Q21)</f>
        <v>18769.900079590167</v>
      </c>
      <c r="R22" s="922">
        <f>IF(R3&gt;'Project Assumptions'!$I$16,0,R20-R21)</f>
        <v>19159.482179513059</v>
      </c>
      <c r="S22" s="922">
        <f>IF(S3&gt;'Project Assumptions'!$I$16,0,S20-S21)</f>
        <v>17853.6664310001</v>
      </c>
      <c r="T22" s="922">
        <f>IF(T3&gt;'Project Assumptions'!$I$16,0,T20-T21)</f>
        <v>13303.214724200661</v>
      </c>
      <c r="U22" s="922">
        <f>IF(U3&gt;'Project Assumptions'!$I$16,0,U20-U21)</f>
        <v>12535.646014579801</v>
      </c>
      <c r="V22" s="922">
        <f>IF(V3&gt;'Project Assumptions'!$I$16,0,V20-V21)</f>
        <v>11234.082645436923</v>
      </c>
      <c r="W22" s="922">
        <f>IF(W3&gt;'Project Assumptions'!$I$16,0,W20-W21)</f>
        <v>10692.368628376611</v>
      </c>
      <c r="X22" s="922">
        <f>IF(X3&gt;'Project Assumptions'!$I$16+1,0,X20-X21)</f>
        <v>22214.623256768144</v>
      </c>
      <c r="Y22" s="922">
        <f>IF(Y3&gt;'Project Assumptions'!$I$16,0,Y20-Y21)</f>
        <v>0</v>
      </c>
      <c r="Z22" s="922">
        <f>IF(Z3&gt;'Project Assumptions'!$I$16,0,Z20-Z21)</f>
        <v>0</v>
      </c>
      <c r="AA22" s="922">
        <f>IF(AA3&gt;'Project Assumptions'!$I$16,0,AA20-AA21)</f>
        <v>0</v>
      </c>
      <c r="AB22" s="923">
        <f>IF(AB3&gt;'Project Assumptions'!$I$16,0,AB20-AB21)</f>
        <v>0</v>
      </c>
      <c r="AC22" s="419"/>
      <c r="AD22" s="36"/>
      <c r="AF22" s="37"/>
      <c r="AU22" s="37"/>
    </row>
    <row r="23" spans="1:47" s="23" customFormat="1" ht="12.6"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432"/>
      <c r="AD23" s="38"/>
    </row>
    <row r="25" spans="1:47" ht="12.6" customHeight="1">
      <c r="A25" s="924" t="s">
        <v>208</v>
      </c>
      <c r="B25" s="641"/>
      <c r="C25" s="641"/>
      <c r="D25" s="925"/>
      <c r="E25" s="641"/>
      <c r="F25" s="641"/>
      <c r="G25" s="641"/>
      <c r="H25" s="641"/>
      <c r="I25" s="641"/>
      <c r="J25" s="641"/>
      <c r="K25" s="641"/>
      <c r="L25" s="641"/>
      <c r="M25" s="641"/>
      <c r="N25" s="641"/>
      <c r="O25" s="641"/>
      <c r="P25" s="641"/>
      <c r="Q25" s="641"/>
      <c r="R25" s="641"/>
      <c r="S25" s="641"/>
      <c r="T25" s="641"/>
      <c r="U25" s="641"/>
      <c r="V25" s="641"/>
      <c r="W25" s="641"/>
      <c r="X25" s="641"/>
      <c r="Y25" s="641"/>
      <c r="Z25" s="641"/>
      <c r="AA25" s="641"/>
      <c r="AB25" s="738"/>
    </row>
    <row r="26" spans="1:47" ht="12.6" customHeight="1">
      <c r="A26" s="779"/>
      <c r="B26" s="898"/>
      <c r="C26" s="179"/>
      <c r="D26" s="926"/>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782"/>
    </row>
    <row r="27" spans="1:47" ht="12.6" customHeight="1">
      <c r="A27" s="779" t="s">
        <v>213</v>
      </c>
      <c r="B27" s="898"/>
      <c r="C27" s="179"/>
      <c r="D27" s="775">
        <f>+IF(OR(AND(D3&gt;'Project Assumptions'!$I$54,D30=0), 'Project Assumptions'!$I$54=0), 0, IF(D22&gt;0, D22, 0))</f>
        <v>0</v>
      </c>
      <c r="E27" s="775">
        <f>+IF(OR(AND(E3&gt;'Project Assumptions'!$I$54,E30=0), 'Project Assumptions'!$I$54=0), 0, IF(E22&gt;0, E22, 0))</f>
        <v>0</v>
      </c>
      <c r="F27" s="775">
        <f>+IF(OR(AND(F3&gt;'Project Assumptions'!$I$54,F30=0), 'Project Assumptions'!$I$54=0), 0, IF(F22&gt;0, F22, 0))</f>
        <v>0</v>
      </c>
      <c r="G27" s="775">
        <f>+IF(OR(AND(G3&gt;'Project Assumptions'!$I$54,G30=0), 'Project Assumptions'!$I$54=0), 0, IF(G22&gt;0, G22, 0))</f>
        <v>0</v>
      </c>
      <c r="H27" s="775">
        <f>+IF(OR(AND(H3&gt;'Project Assumptions'!$I$54,H30=0), 'Project Assumptions'!$I$54=0), 0, IF(H22&gt;0, H22, 0))</f>
        <v>0</v>
      </c>
      <c r="I27" s="775">
        <f>+IF(OR(AND(I3&gt;'Project Assumptions'!$I$54,I30=0), 'Project Assumptions'!$I$54=0), 0, IF(I22&gt;0, I22, 0))</f>
        <v>0</v>
      </c>
      <c r="J27" s="775">
        <f>+IF(OR(AND(J3&gt;'Project Assumptions'!$I$54,J30=0), 'Project Assumptions'!$I$54=0), 0, IF(J22&gt;0, J22, 0))</f>
        <v>0</v>
      </c>
      <c r="K27" s="775">
        <f>+IF(OR(AND(K3&gt;'Project Assumptions'!$I$54,K30=0), 'Project Assumptions'!$I$54=0), 0, IF(K22&gt;0, K22, 0))</f>
        <v>0</v>
      </c>
      <c r="L27" s="775">
        <f>+IF(OR(AND(L3&gt;'Project Assumptions'!$I$54,L30=0), 'Project Assumptions'!$I$54=0), 0, IF(L22&gt;0, L22, 0))</f>
        <v>0</v>
      </c>
      <c r="M27" s="775">
        <f>+IF(OR(AND(M3&gt;'Project Assumptions'!$I$54,M30=0), 'Project Assumptions'!$I$54=0), 0, IF(M22&gt;0, M22, 0))</f>
        <v>0</v>
      </c>
      <c r="N27" s="775">
        <f>+IF(OR(AND(N3&gt;'Project Assumptions'!$I$54,N30=0), 'Project Assumptions'!$I$54=0), 0, IF(N22&gt;0, N22, 0))</f>
        <v>0</v>
      </c>
      <c r="O27" s="775">
        <f>+IF(OR(AND(O3&gt;'Project Assumptions'!$I$54,O30=0), 'Project Assumptions'!$I$54=0), 0, IF(O22&gt;0, O22, 0))</f>
        <v>0</v>
      </c>
      <c r="P27" s="775">
        <f>+IF(OR(AND(P3&gt;'Project Assumptions'!$I$54,P30=0), 'Project Assumptions'!$I$54=0), 0, IF(P22&gt;0, P22, 0))</f>
        <v>0</v>
      </c>
      <c r="Q27" s="775">
        <f>+IF(OR(AND(Q3&gt;'Project Assumptions'!$I$54,Q30=0), 'Project Assumptions'!$I$54=0), 0, IF(Q22&gt;0, Q22, 0))</f>
        <v>0</v>
      </c>
      <c r="R27" s="775">
        <f>+IF(OR(AND(R3&gt;'Project Assumptions'!$I$54,R30=0), 'Project Assumptions'!$I$54=0), 0, IF(R22&gt;0, R22, 0))</f>
        <v>0</v>
      </c>
      <c r="S27" s="775">
        <f>+IF(OR(AND(S3&gt;'Project Assumptions'!$I$54,S30=0), 'Project Assumptions'!$I$54=0), 0, IF(S22&gt;0, S22, 0))</f>
        <v>0</v>
      </c>
      <c r="T27" s="775">
        <f>+IF(OR(AND(T3&gt;'Project Assumptions'!$I$54,T30=0), 'Project Assumptions'!$I$54=0), 0, IF(T22&gt;0, T22, 0))</f>
        <v>0</v>
      </c>
      <c r="U27" s="775">
        <f>+IF(OR(AND(U3&gt;'Project Assumptions'!$I$54,U30=0), 'Project Assumptions'!$I$54=0), 0, IF(U22&gt;0, U22, 0))</f>
        <v>0</v>
      </c>
      <c r="V27" s="775">
        <f>+IF(OR(AND(V3&gt;'Project Assumptions'!$I$54,V30=0), 'Project Assumptions'!$I$54=0), 0, IF(V22&gt;0, V22, 0))</f>
        <v>0</v>
      </c>
      <c r="W27" s="775">
        <f>+IF(OR(AND(W3&gt;'Project Assumptions'!$I$54,W30=0), 'Project Assumptions'!$I$54=0), 0, IF(W22&gt;0, W22, 0))</f>
        <v>0</v>
      </c>
      <c r="X27" s="775">
        <f>+IF(OR(AND(X3&gt;'Project Assumptions'!$I$54,X30=0), 'Project Assumptions'!$I$54=0), 0, IF(X22&gt;0, X22, 0))</f>
        <v>0</v>
      </c>
      <c r="Y27" s="775">
        <f>+IF(OR(AND(Y3&gt;'Project Assumptions'!$I$54,Y30=0), 'Project Assumptions'!$I$54=0), 0, IF(Y22&gt;0, Y22, 0))</f>
        <v>0</v>
      </c>
      <c r="Z27" s="775">
        <f>+IF(OR(AND(Z3&gt;'Project Assumptions'!$I$54,Z30=0), 'Project Assumptions'!$I$54=0), 0, IF(Z22&gt;0, Z22, 0))</f>
        <v>0</v>
      </c>
      <c r="AA27" s="775">
        <f>+IF(OR(AND(AA3&gt;'Project Assumptions'!$I$54,AA30=0), 'Project Assumptions'!$I$54=0), 0, IF(AA22&gt;0, AA22, 0))</f>
        <v>0</v>
      </c>
      <c r="AB27" s="927">
        <f>+IF(OR(AND(AB3&gt;'Project Assumptions'!$I$54,AB30=0), 'Project Assumptions'!$I$54=0), 0, IF(AB22&gt;0, AB22, 0))</f>
        <v>0</v>
      </c>
    </row>
    <row r="28" spans="1:47" ht="12.6" customHeight="1">
      <c r="A28" s="779" t="s">
        <v>97</v>
      </c>
      <c r="B28" s="928"/>
      <c r="C28" s="179"/>
      <c r="D28" s="428">
        <f>IF('Project Assumptions'!$I$54=0, 0, +'Project Assumptions'!$I$56)</f>
        <v>0</v>
      </c>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782"/>
    </row>
    <row r="29" spans="1:47" ht="12.6" customHeight="1">
      <c r="A29" s="779" t="s">
        <v>210</v>
      </c>
      <c r="B29" s="898"/>
      <c r="C29" s="179"/>
      <c r="D29" s="422">
        <f>D28*'Project Assumptions'!$I$55</f>
        <v>0</v>
      </c>
      <c r="E29" s="422">
        <f>+D32*'Project Assumptions'!$I$55</f>
        <v>0</v>
      </c>
      <c r="F29" s="422">
        <f>+E32*'Project Assumptions'!$I$55</f>
        <v>0</v>
      </c>
      <c r="G29" s="422">
        <f>+F32*'Project Assumptions'!$I$55</f>
        <v>0</v>
      </c>
      <c r="H29" s="422">
        <f>+G32*'Project Assumptions'!$I$55</f>
        <v>0</v>
      </c>
      <c r="I29" s="422">
        <f>+H32*'Project Assumptions'!$I$55</f>
        <v>0</v>
      </c>
      <c r="J29" s="422">
        <f>+I32*'Project Assumptions'!$I$55</f>
        <v>0</v>
      </c>
      <c r="K29" s="422">
        <f>+J32*'Project Assumptions'!$I$55</f>
        <v>0</v>
      </c>
      <c r="L29" s="422">
        <f>+K32*'Project Assumptions'!$I$55</f>
        <v>0</v>
      </c>
      <c r="M29" s="422">
        <f>+L32*'Project Assumptions'!$I$55</f>
        <v>0</v>
      </c>
      <c r="N29" s="422">
        <f>+M32*'Project Assumptions'!$I$55</f>
        <v>0</v>
      </c>
      <c r="O29" s="422">
        <f>+N32*'Project Assumptions'!$I$55</f>
        <v>0</v>
      </c>
      <c r="P29" s="422">
        <f>+O32*'Project Assumptions'!$I$55</f>
        <v>0</v>
      </c>
      <c r="Q29" s="422">
        <f>+P32*'Project Assumptions'!$I$55</f>
        <v>0</v>
      </c>
      <c r="R29" s="422">
        <f>+Q32*'Project Assumptions'!$I$55</f>
        <v>0</v>
      </c>
      <c r="S29" s="422">
        <f>+R32*'Project Assumptions'!$I$55</f>
        <v>0</v>
      </c>
      <c r="T29" s="422">
        <f>+S32*'Project Assumptions'!$I$55</f>
        <v>0</v>
      </c>
      <c r="U29" s="422">
        <f>+T32*'Project Assumptions'!$I$55</f>
        <v>0</v>
      </c>
      <c r="V29" s="422">
        <f>+U32*'Project Assumptions'!$I$55</f>
        <v>0</v>
      </c>
      <c r="W29" s="422">
        <f>+V32*'Project Assumptions'!$I$55</f>
        <v>0</v>
      </c>
      <c r="X29" s="422">
        <f>+W32*'Project Assumptions'!$I$55</f>
        <v>0</v>
      </c>
      <c r="Y29" s="422">
        <f>+X32*'Project Assumptions'!$I$55</f>
        <v>0</v>
      </c>
      <c r="Z29" s="422">
        <f>+Y32*'Project Assumptions'!$I$55</f>
        <v>0</v>
      </c>
      <c r="AA29" s="422">
        <f>+Z32*'Project Assumptions'!$I$55</f>
        <v>0</v>
      </c>
      <c r="AB29" s="911">
        <f>+AA32*'Project Assumptions'!$I$55</f>
        <v>0</v>
      </c>
    </row>
    <row r="30" spans="1:47" ht="12.6" customHeight="1">
      <c r="A30" s="779" t="s">
        <v>214</v>
      </c>
      <c r="B30" s="898"/>
      <c r="C30" s="929">
        <v>0</v>
      </c>
      <c r="D30" s="428">
        <f>+C30+D29</f>
        <v>0</v>
      </c>
      <c r="E30" s="930">
        <f>+D30-D31+E29</f>
        <v>0</v>
      </c>
      <c r="F30" s="930">
        <f>+E30-E31+F29</f>
        <v>0</v>
      </c>
      <c r="G30" s="930">
        <f>+F30-F31+G29</f>
        <v>0</v>
      </c>
      <c r="H30" s="930">
        <f t="shared" ref="H30:AB30" si="2">+G30-G31+H29</f>
        <v>0</v>
      </c>
      <c r="I30" s="930">
        <f t="shared" si="2"/>
        <v>0</v>
      </c>
      <c r="J30" s="930">
        <f t="shared" si="2"/>
        <v>0</v>
      </c>
      <c r="K30" s="930">
        <f t="shared" si="2"/>
        <v>0</v>
      </c>
      <c r="L30" s="930">
        <f t="shared" si="2"/>
        <v>0</v>
      </c>
      <c r="M30" s="930">
        <f t="shared" si="2"/>
        <v>0</v>
      </c>
      <c r="N30" s="930">
        <f t="shared" si="2"/>
        <v>0</v>
      </c>
      <c r="O30" s="930">
        <f t="shared" si="2"/>
        <v>0</v>
      </c>
      <c r="P30" s="930">
        <f t="shared" si="2"/>
        <v>0</v>
      </c>
      <c r="Q30" s="930">
        <f t="shared" si="2"/>
        <v>0</v>
      </c>
      <c r="R30" s="930">
        <f t="shared" si="2"/>
        <v>0</v>
      </c>
      <c r="S30" s="930">
        <f t="shared" si="2"/>
        <v>0</v>
      </c>
      <c r="T30" s="930">
        <f t="shared" si="2"/>
        <v>0</v>
      </c>
      <c r="U30" s="930">
        <f t="shared" si="2"/>
        <v>0</v>
      </c>
      <c r="V30" s="930">
        <f t="shared" si="2"/>
        <v>0</v>
      </c>
      <c r="W30" s="930">
        <f t="shared" si="2"/>
        <v>0</v>
      </c>
      <c r="X30" s="930">
        <f t="shared" si="2"/>
        <v>0</v>
      </c>
      <c r="Y30" s="930">
        <f t="shared" si="2"/>
        <v>0</v>
      </c>
      <c r="Z30" s="930">
        <f t="shared" si="2"/>
        <v>0</v>
      </c>
      <c r="AA30" s="930">
        <f t="shared" si="2"/>
        <v>0</v>
      </c>
      <c r="AB30" s="931">
        <f t="shared" si="2"/>
        <v>0</v>
      </c>
    </row>
    <row r="31" spans="1:47" ht="12.6" customHeight="1">
      <c r="A31" s="779" t="s">
        <v>211</v>
      </c>
      <c r="B31" s="179"/>
      <c r="C31" s="179"/>
      <c r="D31" s="432">
        <f>+IF(D27&gt;D30, D30, D27)</f>
        <v>0</v>
      </c>
      <c r="E31" s="432">
        <f>+IF(E27&gt;E30, E30, E27)</f>
        <v>0</v>
      </c>
      <c r="F31" s="432">
        <f>+IF(F27&gt;F30, F30, F27)</f>
        <v>0</v>
      </c>
      <c r="G31" s="432">
        <f>+IF(G27&gt;G30, G30, G27)</f>
        <v>0</v>
      </c>
      <c r="H31" s="432">
        <f t="shared" ref="H31:AB31" si="3">+IF(H27&gt;H30, H30, H27)</f>
        <v>0</v>
      </c>
      <c r="I31" s="432">
        <f t="shared" si="3"/>
        <v>0</v>
      </c>
      <c r="J31" s="432">
        <f t="shared" si="3"/>
        <v>0</v>
      </c>
      <c r="K31" s="432">
        <f t="shared" si="3"/>
        <v>0</v>
      </c>
      <c r="L31" s="432">
        <f t="shared" si="3"/>
        <v>0</v>
      </c>
      <c r="M31" s="432">
        <f t="shared" si="3"/>
        <v>0</v>
      </c>
      <c r="N31" s="432">
        <f t="shared" si="3"/>
        <v>0</v>
      </c>
      <c r="O31" s="432">
        <f t="shared" si="3"/>
        <v>0</v>
      </c>
      <c r="P31" s="432">
        <f t="shared" si="3"/>
        <v>0</v>
      </c>
      <c r="Q31" s="432">
        <f t="shared" si="3"/>
        <v>0</v>
      </c>
      <c r="R31" s="432">
        <f t="shared" si="3"/>
        <v>0</v>
      </c>
      <c r="S31" s="432">
        <f t="shared" si="3"/>
        <v>0</v>
      </c>
      <c r="T31" s="432">
        <f t="shared" si="3"/>
        <v>0</v>
      </c>
      <c r="U31" s="432">
        <f t="shared" si="3"/>
        <v>0</v>
      </c>
      <c r="V31" s="432">
        <f t="shared" si="3"/>
        <v>0</v>
      </c>
      <c r="W31" s="432">
        <f t="shared" si="3"/>
        <v>0</v>
      </c>
      <c r="X31" s="432">
        <f t="shared" si="3"/>
        <v>0</v>
      </c>
      <c r="Y31" s="432">
        <f t="shared" si="3"/>
        <v>0</v>
      </c>
      <c r="Z31" s="432">
        <f t="shared" si="3"/>
        <v>0</v>
      </c>
      <c r="AA31" s="432">
        <f t="shared" si="3"/>
        <v>0</v>
      </c>
      <c r="AB31" s="932">
        <f t="shared" si="3"/>
        <v>0</v>
      </c>
    </row>
    <row r="32" spans="1:47" ht="12.6" customHeight="1">
      <c r="A32" s="779" t="s">
        <v>212</v>
      </c>
      <c r="B32" s="179"/>
      <c r="C32" s="179"/>
      <c r="D32" s="930">
        <f>+IF(D3&lt;'Project Assumptions'!$I$54, 'Project Assumptions'!$I$56, 0)</f>
        <v>0</v>
      </c>
      <c r="E32" s="930">
        <f>+IF(E3&lt;'Project Assumptions'!$I$54, D32, 0)</f>
        <v>0</v>
      </c>
      <c r="F32" s="930">
        <f>+IF(F3&lt;'Project Assumptions'!$I$54, E32, 0)</f>
        <v>0</v>
      </c>
      <c r="G32" s="930">
        <f>+IF(G3&lt;'Project Assumptions'!$I$54, F32, 0)</f>
        <v>0</v>
      </c>
      <c r="H32" s="930">
        <f>+IF(H3&lt;'Project Assumptions'!$I$54, G32, 0)</f>
        <v>0</v>
      </c>
      <c r="I32" s="930">
        <f>+IF(I3&lt;'Project Assumptions'!$I$54, H32, 0)</f>
        <v>0</v>
      </c>
      <c r="J32" s="930">
        <f>+IF(J3&lt;'Project Assumptions'!$I$54, I32, 0)</f>
        <v>0</v>
      </c>
      <c r="K32" s="930">
        <f>+IF(K3&lt;'Project Assumptions'!$I$54, J32, 0)</f>
        <v>0</v>
      </c>
      <c r="L32" s="930">
        <f>+IF(L3&lt;'Project Assumptions'!$I$54, K32, 0)</f>
        <v>0</v>
      </c>
      <c r="M32" s="930">
        <f>+IF(M3&lt;'Project Assumptions'!$I$54, L32, 0)</f>
        <v>0</v>
      </c>
      <c r="N32" s="930">
        <f>+IF(N3&lt;'Project Assumptions'!$I$54, M32, 0)</f>
        <v>0</v>
      </c>
      <c r="O32" s="930">
        <f>+IF(O3&lt;'Project Assumptions'!$I$54, N32, 0)</f>
        <v>0</v>
      </c>
      <c r="P32" s="930">
        <f>+IF(P3&lt;'Project Assumptions'!$I$54, O32, 0)</f>
        <v>0</v>
      </c>
      <c r="Q32" s="930">
        <f>+IF(Q3&lt;'Project Assumptions'!$I$54, P32, 0)</f>
        <v>0</v>
      </c>
      <c r="R32" s="930">
        <f>+IF(R3&lt;'Project Assumptions'!$I$54, Q32, 0)</f>
        <v>0</v>
      </c>
      <c r="S32" s="930">
        <f>+IF(S3&lt;'Project Assumptions'!$I$54, R32, 0)</f>
        <v>0</v>
      </c>
      <c r="T32" s="930">
        <f>+IF(T3&lt;'Project Assumptions'!$I$54, S32, 0)</f>
        <v>0</v>
      </c>
      <c r="U32" s="930">
        <f>+IF(U3&lt;'Project Assumptions'!$I$54, T32, 0)</f>
        <v>0</v>
      </c>
      <c r="V32" s="930">
        <f>+IF(V3&lt;'Project Assumptions'!$I$54, U32, 0)</f>
        <v>0</v>
      </c>
      <c r="W32" s="930">
        <f>+IF(W3&lt;'Project Assumptions'!$I$54, V32, 0)</f>
        <v>0</v>
      </c>
      <c r="X32" s="930">
        <f>+IF(X3&lt;'Project Assumptions'!$I$54+1, W32, 0)</f>
        <v>0</v>
      </c>
      <c r="Y32" s="930">
        <f>+IF(Y3&lt;'Project Assumptions'!$I$54, X32, 0)</f>
        <v>0</v>
      </c>
      <c r="Z32" s="930">
        <f>+IF(Z3&lt;'Project Assumptions'!$I$54, Y32, 0)</f>
        <v>0</v>
      </c>
      <c r="AA32" s="930">
        <f>+IF(AA3&lt;'Project Assumptions'!$I$54, Z32, 0)</f>
        <v>0</v>
      </c>
      <c r="AB32" s="931">
        <f>+IF(AB3&lt;'Project Assumptions'!$I$54, AA32, 0)</f>
        <v>0</v>
      </c>
    </row>
    <row r="33" spans="1:47" ht="12.6" customHeight="1">
      <c r="A33" s="779"/>
      <c r="B33" s="179"/>
      <c r="C33" s="179"/>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782"/>
    </row>
    <row r="34" spans="1:47" ht="12.6" customHeight="1">
      <c r="A34" s="795" t="s">
        <v>209</v>
      </c>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c r="AA34" s="179"/>
      <c r="AB34" s="782"/>
    </row>
    <row r="35" spans="1:47" ht="12.6" customHeight="1">
      <c r="A35" s="779"/>
      <c r="B35" s="179"/>
      <c r="C35" s="179"/>
      <c r="D35" s="179"/>
      <c r="E35" s="179"/>
      <c r="F35" s="179"/>
      <c r="G35" s="179"/>
      <c r="H35" s="179"/>
      <c r="I35" s="179"/>
      <c r="J35" s="179"/>
      <c r="K35" s="179"/>
      <c r="L35" s="179"/>
      <c r="M35" s="179"/>
      <c r="N35" s="179"/>
      <c r="O35" s="179"/>
      <c r="P35" s="179"/>
      <c r="Q35" s="179"/>
      <c r="R35" s="179"/>
      <c r="S35" s="179"/>
      <c r="T35" s="179"/>
      <c r="U35" s="179"/>
      <c r="V35" s="179"/>
      <c r="W35" s="179"/>
      <c r="X35" s="179"/>
      <c r="Y35" s="179"/>
      <c r="Z35" s="179"/>
      <c r="AA35" s="179"/>
      <c r="AB35" s="782"/>
    </row>
    <row r="36" spans="1:47" ht="12.6" customHeight="1">
      <c r="A36" s="779" t="s">
        <v>215</v>
      </c>
      <c r="B36" s="179"/>
      <c r="C36" s="179"/>
      <c r="D36" s="432">
        <f>+D22-D31+(D32-'Project Assumptions'!$I$56)</f>
        <v>-5718.3348220110347</v>
      </c>
      <c r="E36" s="930">
        <f t="shared" ref="E36:AB36" si="4">+E22-E31+(E32-D32)</f>
        <v>3459.9728419598159</v>
      </c>
      <c r="F36" s="930">
        <f t="shared" si="4"/>
        <v>4731.4671029329893</v>
      </c>
      <c r="G36" s="930">
        <f t="shared" si="4"/>
        <v>3389.9846628584201</v>
      </c>
      <c r="H36" s="930">
        <f t="shared" si="4"/>
        <v>13139.534775459859</v>
      </c>
      <c r="I36" s="930">
        <f t="shared" si="4"/>
        <v>16843.553621887157</v>
      </c>
      <c r="J36" s="930">
        <f t="shared" si="4"/>
        <v>12517.02714793296</v>
      </c>
      <c r="K36" s="930">
        <f t="shared" si="4"/>
        <v>12967.986479899511</v>
      </c>
      <c r="L36" s="930">
        <f t="shared" si="4"/>
        <v>10312.711791011465</v>
      </c>
      <c r="M36" s="930">
        <f t="shared" si="4"/>
        <v>8551.3940666987855</v>
      </c>
      <c r="N36" s="930">
        <f t="shared" si="4"/>
        <v>18418.652915276347</v>
      </c>
      <c r="O36" s="930">
        <f t="shared" si="4"/>
        <v>18410.87142908894</v>
      </c>
      <c r="P36" s="930">
        <f t="shared" si="4"/>
        <v>18377.397162281239</v>
      </c>
      <c r="Q36" s="930">
        <f t="shared" si="4"/>
        <v>18769.900079590167</v>
      </c>
      <c r="R36" s="930">
        <f t="shared" si="4"/>
        <v>19159.482179513059</v>
      </c>
      <c r="S36" s="930">
        <f t="shared" si="4"/>
        <v>17853.6664310001</v>
      </c>
      <c r="T36" s="930">
        <f t="shared" si="4"/>
        <v>13303.214724200661</v>
      </c>
      <c r="U36" s="930">
        <f t="shared" si="4"/>
        <v>12535.646014579801</v>
      </c>
      <c r="V36" s="930">
        <f t="shared" si="4"/>
        <v>11234.082645436923</v>
      </c>
      <c r="W36" s="930">
        <f t="shared" si="4"/>
        <v>10692.368628376611</v>
      </c>
      <c r="X36" s="930">
        <f t="shared" si="4"/>
        <v>22214.623256768144</v>
      </c>
      <c r="Y36" s="930">
        <f t="shared" si="4"/>
        <v>0</v>
      </c>
      <c r="Z36" s="930">
        <f t="shared" si="4"/>
        <v>0</v>
      </c>
      <c r="AA36" s="930">
        <f t="shared" si="4"/>
        <v>0</v>
      </c>
      <c r="AB36" s="931">
        <f t="shared" si="4"/>
        <v>0</v>
      </c>
    </row>
    <row r="37" spans="1:47" ht="12.6" customHeight="1">
      <c r="A37" s="779" t="s">
        <v>363</v>
      </c>
      <c r="B37" s="179"/>
      <c r="C37" s="179"/>
      <c r="D37" s="930">
        <f>D36</f>
        <v>-5718.3348220110347</v>
      </c>
      <c r="E37" s="930">
        <f t="shared" ref="E37:AD37" si="5">E36</f>
        <v>3459.9728419598159</v>
      </c>
      <c r="F37" s="930">
        <f t="shared" si="5"/>
        <v>4731.4671029329893</v>
      </c>
      <c r="G37" s="930">
        <f t="shared" si="5"/>
        <v>3389.9846628584201</v>
      </c>
      <c r="H37" s="930">
        <f t="shared" si="5"/>
        <v>13139.534775459859</v>
      </c>
      <c r="I37" s="930">
        <f t="shared" si="5"/>
        <v>16843.553621887157</v>
      </c>
      <c r="J37" s="930">
        <f t="shared" si="5"/>
        <v>12517.02714793296</v>
      </c>
      <c r="K37" s="930">
        <f t="shared" si="5"/>
        <v>12967.986479899511</v>
      </c>
      <c r="L37" s="930">
        <f t="shared" si="5"/>
        <v>10312.711791011465</v>
      </c>
      <c r="M37" s="930">
        <f t="shared" si="5"/>
        <v>8551.3940666987855</v>
      </c>
      <c r="N37" s="930">
        <f t="shared" si="5"/>
        <v>18418.652915276347</v>
      </c>
      <c r="O37" s="930">
        <f t="shared" si="5"/>
        <v>18410.87142908894</v>
      </c>
      <c r="P37" s="930">
        <f t="shared" si="5"/>
        <v>18377.397162281239</v>
      </c>
      <c r="Q37" s="930">
        <f t="shared" si="5"/>
        <v>18769.900079590167</v>
      </c>
      <c r="R37" s="930">
        <f t="shared" si="5"/>
        <v>19159.482179513059</v>
      </c>
      <c r="S37" s="930">
        <f t="shared" si="5"/>
        <v>17853.6664310001</v>
      </c>
      <c r="T37" s="930">
        <f t="shared" si="5"/>
        <v>13303.214724200661</v>
      </c>
      <c r="U37" s="930">
        <f t="shared" si="5"/>
        <v>12535.646014579801</v>
      </c>
      <c r="V37" s="930">
        <f t="shared" si="5"/>
        <v>11234.082645436923</v>
      </c>
      <c r="W37" s="930">
        <f t="shared" si="5"/>
        <v>10692.368628376611</v>
      </c>
      <c r="X37" s="930">
        <f t="shared" si="5"/>
        <v>22214.623256768144</v>
      </c>
      <c r="Y37" s="930">
        <f t="shared" si="5"/>
        <v>0</v>
      </c>
      <c r="Z37" s="930">
        <f t="shared" si="5"/>
        <v>0</v>
      </c>
      <c r="AA37" s="930">
        <f t="shared" si="5"/>
        <v>0</v>
      </c>
      <c r="AB37" s="931">
        <f t="shared" si="5"/>
        <v>0</v>
      </c>
      <c r="AC37" s="444">
        <f t="shared" si="5"/>
        <v>0</v>
      </c>
      <c r="AD37" s="44">
        <f t="shared" si="5"/>
        <v>0</v>
      </c>
    </row>
    <row r="38" spans="1:47" ht="12.6" customHeight="1">
      <c r="A38" s="908" t="s">
        <v>331</v>
      </c>
      <c r="B38" s="179"/>
      <c r="C38" s="179"/>
      <c r="D38" s="930">
        <f>D36-D37</f>
        <v>0</v>
      </c>
      <c r="E38" s="930">
        <f t="shared" ref="E38:AA38" si="6">E36-E37</f>
        <v>0</v>
      </c>
      <c r="F38" s="930">
        <f t="shared" si="6"/>
        <v>0</v>
      </c>
      <c r="G38" s="930">
        <f t="shared" si="6"/>
        <v>0</v>
      </c>
      <c r="H38" s="930">
        <f t="shared" si="6"/>
        <v>0</v>
      </c>
      <c r="I38" s="930">
        <f t="shared" si="6"/>
        <v>0</v>
      </c>
      <c r="J38" s="930">
        <f t="shared" si="6"/>
        <v>0</v>
      </c>
      <c r="K38" s="930">
        <f t="shared" si="6"/>
        <v>0</v>
      </c>
      <c r="L38" s="930">
        <f t="shared" si="6"/>
        <v>0</v>
      </c>
      <c r="M38" s="930">
        <f t="shared" si="6"/>
        <v>0</v>
      </c>
      <c r="N38" s="930">
        <f t="shared" si="6"/>
        <v>0</v>
      </c>
      <c r="O38" s="930">
        <f t="shared" si="6"/>
        <v>0</v>
      </c>
      <c r="P38" s="930">
        <f t="shared" si="6"/>
        <v>0</v>
      </c>
      <c r="Q38" s="930">
        <f t="shared" si="6"/>
        <v>0</v>
      </c>
      <c r="R38" s="930">
        <f t="shared" si="6"/>
        <v>0</v>
      </c>
      <c r="S38" s="930">
        <f t="shared" si="6"/>
        <v>0</v>
      </c>
      <c r="T38" s="930">
        <f t="shared" si="6"/>
        <v>0</v>
      </c>
      <c r="U38" s="930">
        <f t="shared" si="6"/>
        <v>0</v>
      </c>
      <c r="V38" s="930">
        <f t="shared" si="6"/>
        <v>0</v>
      </c>
      <c r="W38" s="930">
        <f t="shared" si="6"/>
        <v>0</v>
      </c>
      <c r="X38" s="930">
        <f t="shared" si="6"/>
        <v>0</v>
      </c>
      <c r="Y38" s="930">
        <f t="shared" si="6"/>
        <v>0</v>
      </c>
      <c r="Z38" s="930">
        <f t="shared" si="6"/>
        <v>0</v>
      </c>
      <c r="AA38" s="930">
        <f t="shared" si="6"/>
        <v>0</v>
      </c>
      <c r="AB38" s="782"/>
    </row>
    <row r="39" spans="1:47" ht="12.6" customHeight="1">
      <c r="A39" s="779"/>
      <c r="B39" s="179"/>
      <c r="C39" s="179"/>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932"/>
    </row>
    <row r="40" spans="1:47" ht="12.6" customHeight="1">
      <c r="A40" s="779" t="s">
        <v>336</v>
      </c>
      <c r="B40" s="179"/>
      <c r="C40" s="179"/>
      <c r="D40" s="179">
        <v>0</v>
      </c>
      <c r="E40" s="930">
        <f>D42</f>
        <v>0</v>
      </c>
      <c r="F40" s="930">
        <f t="shared" ref="F40:O40" si="7">E42</f>
        <v>0</v>
      </c>
      <c r="G40" s="930">
        <f t="shared" si="7"/>
        <v>0</v>
      </c>
      <c r="H40" s="930">
        <f t="shared" si="7"/>
        <v>0</v>
      </c>
      <c r="I40" s="930">
        <f t="shared" si="7"/>
        <v>0</v>
      </c>
      <c r="J40" s="930">
        <f t="shared" si="7"/>
        <v>0</v>
      </c>
      <c r="K40" s="930">
        <f t="shared" si="7"/>
        <v>0</v>
      </c>
      <c r="L40" s="930">
        <f t="shared" si="7"/>
        <v>0</v>
      </c>
      <c r="M40" s="930">
        <f t="shared" si="7"/>
        <v>0</v>
      </c>
      <c r="N40" s="930">
        <f t="shared" si="7"/>
        <v>0</v>
      </c>
      <c r="O40" s="930">
        <f t="shared" si="7"/>
        <v>0</v>
      </c>
      <c r="P40" s="930">
        <f t="shared" ref="P40:AB40" si="8">O42</f>
        <v>0</v>
      </c>
      <c r="Q40" s="930">
        <f t="shared" si="8"/>
        <v>0</v>
      </c>
      <c r="R40" s="930">
        <f t="shared" si="8"/>
        <v>0</v>
      </c>
      <c r="S40" s="930">
        <f t="shared" si="8"/>
        <v>0</v>
      </c>
      <c r="T40" s="930">
        <f t="shared" si="8"/>
        <v>0</v>
      </c>
      <c r="U40" s="930">
        <f t="shared" si="8"/>
        <v>0</v>
      </c>
      <c r="V40" s="930">
        <f t="shared" si="8"/>
        <v>0</v>
      </c>
      <c r="W40" s="930">
        <f t="shared" si="8"/>
        <v>0</v>
      </c>
      <c r="X40" s="930">
        <f t="shared" si="8"/>
        <v>0</v>
      </c>
      <c r="Y40" s="930">
        <f t="shared" si="8"/>
        <v>0</v>
      </c>
      <c r="Z40" s="930">
        <f t="shared" si="8"/>
        <v>0</v>
      </c>
      <c r="AA40" s="930">
        <f t="shared" si="8"/>
        <v>0</v>
      </c>
      <c r="AB40" s="931">
        <f t="shared" si="8"/>
        <v>0</v>
      </c>
    </row>
    <row r="41" spans="1:47" ht="12.6" customHeight="1">
      <c r="A41" s="779" t="s">
        <v>337</v>
      </c>
      <c r="B41" s="179"/>
      <c r="C41" s="179"/>
      <c r="D41" s="930">
        <f t="shared" ref="D41:O41" si="9">D38</f>
        <v>0</v>
      </c>
      <c r="E41" s="930">
        <f t="shared" si="9"/>
        <v>0</v>
      </c>
      <c r="F41" s="930">
        <f t="shared" si="9"/>
        <v>0</v>
      </c>
      <c r="G41" s="930">
        <f t="shared" si="9"/>
        <v>0</v>
      </c>
      <c r="H41" s="930">
        <f t="shared" si="9"/>
        <v>0</v>
      </c>
      <c r="I41" s="930">
        <f t="shared" si="9"/>
        <v>0</v>
      </c>
      <c r="J41" s="930">
        <f t="shared" si="9"/>
        <v>0</v>
      </c>
      <c r="K41" s="930">
        <f t="shared" si="9"/>
        <v>0</v>
      </c>
      <c r="L41" s="930">
        <f t="shared" si="9"/>
        <v>0</v>
      </c>
      <c r="M41" s="930">
        <f t="shared" si="9"/>
        <v>0</v>
      </c>
      <c r="N41" s="930">
        <f t="shared" si="9"/>
        <v>0</v>
      </c>
      <c r="O41" s="930">
        <f t="shared" si="9"/>
        <v>0</v>
      </c>
      <c r="P41" s="930">
        <f t="shared" ref="P41:AB41" si="10">P38</f>
        <v>0</v>
      </c>
      <c r="Q41" s="930">
        <f t="shared" si="10"/>
        <v>0</v>
      </c>
      <c r="R41" s="930">
        <f t="shared" si="10"/>
        <v>0</v>
      </c>
      <c r="S41" s="930">
        <f t="shared" si="10"/>
        <v>0</v>
      </c>
      <c r="T41" s="930">
        <f t="shared" si="10"/>
        <v>0</v>
      </c>
      <c r="U41" s="930">
        <f t="shared" si="10"/>
        <v>0</v>
      </c>
      <c r="V41" s="930">
        <f t="shared" si="10"/>
        <v>0</v>
      </c>
      <c r="W41" s="930">
        <f t="shared" si="10"/>
        <v>0</v>
      </c>
      <c r="X41" s="930">
        <f t="shared" si="10"/>
        <v>0</v>
      </c>
      <c r="Y41" s="930">
        <f t="shared" si="10"/>
        <v>0</v>
      </c>
      <c r="Z41" s="930">
        <f t="shared" si="10"/>
        <v>0</v>
      </c>
      <c r="AA41" s="930">
        <f t="shared" si="10"/>
        <v>0</v>
      </c>
      <c r="AB41" s="931">
        <f t="shared" si="10"/>
        <v>0</v>
      </c>
    </row>
    <row r="42" spans="1:47" ht="12.6" customHeight="1">
      <c r="A42" s="779" t="s">
        <v>338</v>
      </c>
      <c r="B42" s="179"/>
      <c r="C42" s="179"/>
      <c r="D42" s="930">
        <f>D40+D41</f>
        <v>0</v>
      </c>
      <c r="E42" s="930">
        <f t="shared" ref="E42:O42" si="11">E40+E41</f>
        <v>0</v>
      </c>
      <c r="F42" s="930">
        <f t="shared" si="11"/>
        <v>0</v>
      </c>
      <c r="G42" s="930">
        <f t="shared" si="11"/>
        <v>0</v>
      </c>
      <c r="H42" s="930">
        <f t="shared" si="11"/>
        <v>0</v>
      </c>
      <c r="I42" s="930">
        <f t="shared" si="11"/>
        <v>0</v>
      </c>
      <c r="J42" s="930">
        <f t="shared" si="11"/>
        <v>0</v>
      </c>
      <c r="K42" s="930">
        <f t="shared" si="11"/>
        <v>0</v>
      </c>
      <c r="L42" s="930">
        <f t="shared" si="11"/>
        <v>0</v>
      </c>
      <c r="M42" s="930">
        <f t="shared" si="11"/>
        <v>0</v>
      </c>
      <c r="N42" s="930">
        <f t="shared" si="11"/>
        <v>0</v>
      </c>
      <c r="O42" s="930">
        <f t="shared" si="11"/>
        <v>0</v>
      </c>
      <c r="P42" s="930">
        <f t="shared" ref="P42:AB42" si="12">P40+P41</f>
        <v>0</v>
      </c>
      <c r="Q42" s="930">
        <f t="shared" si="12"/>
        <v>0</v>
      </c>
      <c r="R42" s="930">
        <f t="shared" si="12"/>
        <v>0</v>
      </c>
      <c r="S42" s="930">
        <f t="shared" si="12"/>
        <v>0</v>
      </c>
      <c r="T42" s="930">
        <f t="shared" si="12"/>
        <v>0</v>
      </c>
      <c r="U42" s="930">
        <f t="shared" si="12"/>
        <v>0</v>
      </c>
      <c r="V42" s="930">
        <f t="shared" si="12"/>
        <v>0</v>
      </c>
      <c r="W42" s="930">
        <f t="shared" si="12"/>
        <v>0</v>
      </c>
      <c r="X42" s="930">
        <f t="shared" si="12"/>
        <v>0</v>
      </c>
      <c r="Y42" s="930">
        <f t="shared" si="12"/>
        <v>0</v>
      </c>
      <c r="Z42" s="930">
        <f t="shared" si="12"/>
        <v>0</v>
      </c>
      <c r="AA42" s="930">
        <f t="shared" si="12"/>
        <v>0</v>
      </c>
      <c r="AB42" s="931">
        <f t="shared" si="12"/>
        <v>0</v>
      </c>
      <c r="AF42" s="19"/>
      <c r="AU42" s="19"/>
    </row>
    <row r="43" spans="1:47" customFormat="1" ht="12.6" customHeight="1">
      <c r="A43" s="779"/>
      <c r="B43" s="241"/>
      <c r="C43" s="241"/>
      <c r="D43" s="241"/>
      <c r="E43" s="241"/>
      <c r="F43" s="241"/>
      <c r="G43" s="241"/>
      <c r="H43" s="241"/>
      <c r="I43" s="241"/>
      <c r="J43" s="241"/>
      <c r="K43" s="241"/>
      <c r="L43" s="241"/>
      <c r="M43" s="241"/>
      <c r="N43" s="241"/>
      <c r="O43" s="241"/>
      <c r="P43" s="241"/>
      <c r="Q43" s="241"/>
      <c r="R43" s="241"/>
      <c r="S43" s="241"/>
      <c r="T43" s="241"/>
      <c r="U43" s="241"/>
      <c r="V43" s="241"/>
      <c r="W43" s="241"/>
      <c r="X43" s="241"/>
      <c r="Y43" s="241"/>
      <c r="Z43" s="241"/>
      <c r="AA43" s="241"/>
      <c r="AB43" s="807"/>
      <c r="AC43" s="163"/>
    </row>
    <row r="44" spans="1:47" customFormat="1" ht="12.6" customHeight="1">
      <c r="A44" s="814" t="s">
        <v>331</v>
      </c>
      <c r="B44" s="632"/>
      <c r="C44" s="632"/>
      <c r="D44" s="933">
        <f>'Book Income Statement'!D72-'Cash Flow Statement'!D37</f>
        <v>3789.1444370858871</v>
      </c>
      <c r="E44" s="933">
        <f>'Book Income Statement'!E72-'Cash Flow Statement'!E37</f>
        <v>-91.6061633956474</v>
      </c>
      <c r="F44" s="933">
        <f>'Book Income Statement'!F72-'Cash Flow Statement'!F37</f>
        <v>-1038.5102060123518</v>
      </c>
      <c r="G44" s="933">
        <f>'Book Income Statement'!G72-'Cash Flow Statement'!G37</f>
        <v>553.00882731616912</v>
      </c>
      <c r="H44" s="933">
        <f>'Book Income Statement'!H72-'Cash Flow Statement'!H37</f>
        <v>-5319.2278407538815</v>
      </c>
      <c r="I44" s="933">
        <f>'Book Income Statement'!I72-'Cash Flow Statement'!I37</f>
        <v>-5902.051267040546</v>
      </c>
      <c r="J44" s="933">
        <f>'Book Income Statement'!J72-'Cash Flow Statement'!J37</f>
        <v>-933.61032239123415</v>
      </c>
      <c r="K44" s="933">
        <f>'Book Income Statement'!K72-'Cash Flow Statement'!K37</f>
        <v>-930.01179111484635</v>
      </c>
      <c r="L44" s="933">
        <f>'Book Income Statement'!L72-'Cash Flow Statement'!L37</f>
        <v>2568.4087856731549</v>
      </c>
      <c r="M44" s="933">
        <f>'Book Income Statement'!M72-'Cash Flow Statement'!M37</f>
        <v>4946.9382088851544</v>
      </c>
      <c r="N44" s="933">
        <f>'Book Income Statement'!N72-'Cash Flow Statement'!N37</f>
        <v>-3773.8941062624563</v>
      </c>
      <c r="O44" s="933">
        <f>'Book Income Statement'!O72-'Cash Flow Statement'!O37</f>
        <v>-3940.5482443219062</v>
      </c>
      <c r="P44" s="933">
        <f>'Book Income Statement'!P72-'Cash Flow Statement'!P37</f>
        <v>-3075.1259175542236</v>
      </c>
      <c r="Q44" s="933">
        <f>'Book Income Statement'!Q72-'Cash Flow Statement'!Q37</f>
        <v>-3064.1051701490669</v>
      </c>
      <c r="R44" s="933">
        <f>'Book Income Statement'!R72-'Cash Flow Statement'!R37</f>
        <v>-3058.4845933610704</v>
      </c>
      <c r="S44" s="933">
        <f>'Book Income Statement'!S72-'Cash Flow Statement'!S37</f>
        <v>-1366.4484409010693</v>
      </c>
      <c r="T44" s="933">
        <f>'Book Income Statement'!T72-'Cash Flow Statement'!T37</f>
        <v>3581.356859945241</v>
      </c>
      <c r="U44" s="933">
        <f>'Book Income Statement'!U72-'Cash Flow Statement'!U37</f>
        <v>4907.3494341383957</v>
      </c>
      <c r="V44" s="933">
        <f>'Book Income Statement'!V72-'Cash Flow Statement'!V37</f>
        <v>6820.5994341383994</v>
      </c>
      <c r="W44" s="933">
        <f>'Book Income Statement'!W72-'Cash Flow Statement'!W37</f>
        <v>7996.2514889794584</v>
      </c>
      <c r="X44" s="933">
        <f>'Book Income Statement'!X72-'Cash Flow Statement'!X37</f>
        <v>-2855.6594315166694</v>
      </c>
      <c r="Y44" s="933">
        <f>'Book Income Statement'!Y72-'Cash Flow Statement'!Y37</f>
        <v>0</v>
      </c>
      <c r="Z44" s="933">
        <f>'Book Income Statement'!Z72-'Cash Flow Statement'!Z37</f>
        <v>0</v>
      </c>
      <c r="AA44" s="933">
        <f>'Book Income Statement'!AA72-'Cash Flow Statement'!AA37</f>
        <v>0</v>
      </c>
      <c r="AB44" s="934">
        <f>'Book Income Statement'!AB72-'Cash Flow Statement'!AB37</f>
        <v>0</v>
      </c>
      <c r="AC44" s="163"/>
    </row>
    <row r="45" spans="1:47" customFormat="1" ht="12.6" customHeight="1">
      <c r="A45" s="16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row>
    <row r="46" spans="1:47" customFormat="1" ht="12.6" customHeight="1">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row>
    <row r="47" spans="1:47" customFormat="1" ht="12.6" customHeight="1">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row>
    <row r="48" spans="1:47" customFormat="1" ht="12.6" customHeight="1">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row>
    <row r="49" spans="1:29" customFormat="1" ht="12.6" customHeight="1">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row>
    <row r="50" spans="1:29" customFormat="1" ht="12.6" customHeight="1">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row>
    <row r="51" spans="1:29" customFormat="1" ht="12.6" customHeight="1">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c r="AB51" s="163"/>
      <c r="AC51" s="163"/>
    </row>
    <row r="52" spans="1:29" customFormat="1" ht="12.6" customHeight="1">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c r="AB52" s="163"/>
      <c r="AC52" s="163"/>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75" right="0.75" top="1" bottom="1" header="0.5" footer="0.5"/>
  <pageSetup scale="42" orientation="landscape" r:id="rId3"/>
  <headerFooter alignWithMargins="0">
    <oddFooter>&amp;L&amp;D   &amp;T&amp;R&amp;F
&amp;A &amp;P</oddFooter>
  </headerFooter>
  <colBreaks count="1" manualBreakCount="1">
    <brk id="23"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97</vt:i4>
      </vt:variant>
    </vt:vector>
  </HeadingPairs>
  <TitlesOfParts>
    <vt:vector size="111" baseType="lpstr">
      <vt:lpstr>Tracker</vt:lpstr>
      <vt:lpstr>Value</vt:lpstr>
      <vt:lpstr>Project Assumptions</vt:lpstr>
      <vt:lpstr>PPA Assumptions &amp; Summary</vt:lpstr>
      <vt:lpstr>Operations</vt:lpstr>
      <vt:lpstr>Debt Amortization</vt:lpstr>
      <vt:lpstr>Book Income Statement</vt:lpstr>
      <vt:lpstr>Returns Summary</vt:lpstr>
      <vt:lpstr>Cash Flow Statement</vt:lpstr>
      <vt:lpstr>BS</vt:lpstr>
      <vt:lpstr>Tax Calculations</vt:lpstr>
      <vt:lpstr>Depreciation</vt:lpstr>
      <vt:lpstr>Interest During Construction</vt:lpstr>
      <vt:lpstr>Maintainance Reserves</vt:lpstr>
      <vt:lpstr>AnnualHours</vt:lpstr>
      <vt:lpstr>BI</vt:lpstr>
      <vt:lpstr>BS</vt:lpstr>
      <vt:lpstr>BusnIInsr</vt:lpstr>
      <vt:lpstr>Cap_Factor_Energy</vt:lpstr>
      <vt:lpstr>CF</vt:lpstr>
      <vt:lpstr>Cost_Start_Turbine</vt:lpstr>
      <vt:lpstr>CountyAbatementRate</vt:lpstr>
      <vt:lpstr>CountyAbatementTerm</vt:lpstr>
      <vt:lpstr>CountyMillageRate</vt:lpstr>
      <vt:lpstr>CountyTaxAbatementTerm</vt:lpstr>
      <vt:lpstr>Debt</vt:lpstr>
      <vt:lpstr>DebtTerm</vt:lpstr>
      <vt:lpstr>Deg_Rate</vt:lpstr>
      <vt:lpstr>Deprec</vt:lpstr>
      <vt:lpstr>Ebitda</vt:lpstr>
      <vt:lpstr>Energy_Margin</vt:lpstr>
      <vt:lpstr>Equity_Copy</vt:lpstr>
      <vt:lpstr>Equity_Paste</vt:lpstr>
      <vt:lpstr>EVAP_Date</vt:lpstr>
      <vt:lpstr>FercMWh</vt:lpstr>
      <vt:lpstr>Fixed</vt:lpstr>
      <vt:lpstr>FracYr1</vt:lpstr>
      <vt:lpstr>Fuel_Start</vt:lpstr>
      <vt:lpstr>HeatRate</vt:lpstr>
      <vt:lpstr>IDC</vt:lpstr>
      <vt:lpstr>Int1</vt:lpstr>
      <vt:lpstr>Int2</vt:lpstr>
      <vt:lpstr>Int3</vt:lpstr>
      <vt:lpstr>InterestExpense</vt:lpstr>
      <vt:lpstr>InterestIncome</vt:lpstr>
      <vt:lpstr>ISO_MW</vt:lpstr>
      <vt:lpstr>Labor</vt:lpstr>
      <vt:lpstr>LiabInsr</vt:lpstr>
      <vt:lpstr>Loan_Copy</vt:lpstr>
      <vt:lpstr>Loan_Paste</vt:lpstr>
      <vt:lpstr>Loop</vt:lpstr>
      <vt:lpstr>Main</vt:lpstr>
      <vt:lpstr>Main_Escal</vt:lpstr>
      <vt:lpstr>Main_Start</vt:lpstr>
      <vt:lpstr>Main_Table</vt:lpstr>
      <vt:lpstr>MainMWh</vt:lpstr>
      <vt:lpstr>NetMW</vt:lpstr>
      <vt:lpstr>NetMW_New</vt:lpstr>
      <vt:lpstr>OM_Escal</vt:lpstr>
      <vt:lpstr>Opcostescalation</vt:lpstr>
      <vt:lpstr>OpMachInsr</vt:lpstr>
      <vt:lpstr>Ops</vt:lpstr>
      <vt:lpstr>PPA</vt:lpstr>
      <vt:lpstr>PPA_Price</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'Maintainance Reserves'!Print_Area</vt:lpstr>
      <vt:lpstr>Operations!Print_Area</vt:lpstr>
      <vt:lpstr>'PPA Assumptions &amp; Summary'!Print_Area</vt:lpstr>
      <vt:lpstr>'Project Assumptions'!Print_Area</vt:lpstr>
      <vt:lpstr>'Returns Summary'!Print_Area</vt:lpstr>
      <vt:lpstr>'Tax Calculations'!Print_Area</vt:lpstr>
      <vt:lpstr>Tracker!Print_Area</vt:lpstr>
      <vt:lpstr>'Book Income Statement'!Print_Titles</vt:lpstr>
      <vt:lpstr>'Cash Flow Statement'!Print_Titles</vt:lpstr>
      <vt:lpstr>'Debt Amortization'!Print_Titles</vt:lpstr>
      <vt:lpstr>Depreciation!Print_Titles</vt:lpstr>
      <vt:lpstr>'Maintainance Reserves'!Print_Titles</vt:lpstr>
      <vt:lpstr>Operations!Print_Titles</vt:lpstr>
      <vt:lpstr>'PPA Assumptions &amp; Summary'!Print_Titles</vt:lpstr>
      <vt:lpstr>'Returns Summary'!Print_Titles</vt:lpstr>
      <vt:lpstr>'Tax Calculations'!Print_Titles</vt:lpstr>
      <vt:lpstr>Tracker!Print_Titles</vt:lpstr>
      <vt:lpstr>Pro_Ass</vt:lpstr>
      <vt:lpstr>ProjectLife</vt:lpstr>
      <vt:lpstr>Returns</vt:lpstr>
      <vt:lpstr>s</vt:lpstr>
      <vt:lpstr>SchoolAbatementRate</vt:lpstr>
      <vt:lpstr>SchoolMillageRate</vt:lpstr>
      <vt:lpstr>SchoolTaxAbatementTerm</vt:lpstr>
      <vt:lpstr>StartDate</vt:lpstr>
      <vt:lpstr>StartsYear</vt:lpstr>
      <vt:lpstr>Tax</vt:lpstr>
      <vt:lpstr>Term1</vt:lpstr>
      <vt:lpstr>Term2</vt:lpstr>
      <vt:lpstr>Term3</vt:lpstr>
      <vt:lpstr>Variable</vt:lpstr>
      <vt:lpstr>VariableMwh</vt:lpstr>
      <vt:lpstr>VEP</vt:lpstr>
      <vt:lpstr>VEP_ESCAL</vt:lpstr>
      <vt:lpstr>WaterMWh</vt:lpstr>
      <vt:lpstr>WaterOM</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Felienne</cp:lastModifiedBy>
  <cp:lastPrinted>1999-09-20T15:20:45Z</cp:lastPrinted>
  <dcterms:created xsi:type="dcterms:W3CDTF">1997-11-13T01:38:26Z</dcterms:created>
  <dcterms:modified xsi:type="dcterms:W3CDTF">2014-09-03T15:00:29Z</dcterms:modified>
</cp:coreProperties>
</file>