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420" windowWidth="14940" windowHeight="6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F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F150" i="1"/>
  <c r="G150" i="1"/>
  <c r="G151" i="1" s="1"/>
  <c r="H150" i="1"/>
  <c r="I150" i="1"/>
  <c r="I151" i="1" s="1"/>
  <c r="J150" i="1"/>
  <c r="J151" i="1" s="1"/>
  <c r="K150" i="1"/>
  <c r="K151" i="1" s="1"/>
  <c r="L150" i="1"/>
  <c r="M150" i="1"/>
  <c r="M151" i="1" s="1"/>
  <c r="N150" i="1"/>
  <c r="O150" i="1"/>
  <c r="O151" i="1" s="1"/>
  <c r="P150" i="1"/>
  <c r="Q150" i="1"/>
  <c r="Q151" i="1" s="1"/>
  <c r="R150" i="1"/>
  <c r="R151" i="1" s="1"/>
  <c r="S150" i="1"/>
  <c r="S151" i="1" s="1"/>
  <c r="T150" i="1"/>
  <c r="F151" i="1"/>
  <c r="H151" i="1"/>
  <c r="L151" i="1"/>
  <c r="N151" i="1"/>
  <c r="P151" i="1"/>
  <c r="T151" i="1"/>
  <c r="F153" i="1"/>
  <c r="G153" i="1"/>
  <c r="H153" i="1"/>
  <c r="I153" i="1"/>
  <c r="J153" i="1"/>
  <c r="J154" i="1" s="1"/>
  <c r="K153" i="1"/>
  <c r="K154" i="1" s="1"/>
  <c r="L153" i="1"/>
  <c r="L154" i="1" s="1"/>
  <c r="M153" i="1"/>
  <c r="M154" i="1" s="1"/>
  <c r="N153" i="1"/>
  <c r="O153" i="1"/>
  <c r="P153" i="1"/>
  <c r="Q153" i="1"/>
  <c r="R153" i="1"/>
  <c r="S153" i="1"/>
  <c r="S154" i="1" s="1"/>
  <c r="T153" i="1"/>
  <c r="T154" i="1" s="1"/>
  <c r="F154" i="1"/>
  <c r="H154" i="1"/>
  <c r="I154" i="1"/>
  <c r="N154" i="1"/>
  <c r="O154" i="1"/>
  <c r="P154" i="1"/>
  <c r="R154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F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F184" i="1"/>
  <c r="F185" i="1" s="1"/>
  <c r="G184" i="1"/>
  <c r="H184" i="1"/>
  <c r="H185" i="1" s="1"/>
  <c r="I184" i="1"/>
  <c r="I185" i="1" s="1"/>
  <c r="J184" i="1"/>
  <c r="J185" i="1" s="1"/>
  <c r="K184" i="1"/>
  <c r="L184" i="1"/>
  <c r="L185" i="1" s="1"/>
  <c r="M184" i="1"/>
  <c r="N184" i="1"/>
  <c r="N185" i="1" s="1"/>
  <c r="O184" i="1"/>
  <c r="P184" i="1"/>
  <c r="P185" i="1" s="1"/>
  <c r="Q184" i="1"/>
  <c r="Q185" i="1" s="1"/>
  <c r="R184" i="1"/>
  <c r="R185" i="1" s="1"/>
  <c r="S184" i="1"/>
  <c r="T184" i="1"/>
  <c r="T185" i="1" s="1"/>
  <c r="G185" i="1"/>
  <c r="K185" i="1"/>
  <c r="M185" i="1"/>
  <c r="O185" i="1"/>
  <c r="S185" i="1"/>
  <c r="F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F248" i="1"/>
  <c r="F249" i="1" s="1"/>
  <c r="G248" i="1"/>
  <c r="H248" i="1"/>
  <c r="I248" i="1"/>
  <c r="J248" i="1"/>
  <c r="K248" i="1"/>
  <c r="K249" i="1" s="1"/>
  <c r="L248" i="1"/>
  <c r="L249" i="1" s="1"/>
  <c r="M248" i="1"/>
  <c r="M249" i="1" s="1"/>
  <c r="N248" i="1"/>
  <c r="N249" i="1" s="1"/>
  <c r="O248" i="1"/>
  <c r="P248" i="1"/>
  <c r="Q248" i="1"/>
  <c r="G249" i="1"/>
  <c r="H249" i="1"/>
  <c r="I249" i="1"/>
  <c r="J249" i="1"/>
  <c r="O249" i="1"/>
  <c r="P249" i="1"/>
  <c r="Q249" i="1"/>
  <c r="R249" i="1"/>
  <c r="S249" i="1"/>
  <c r="T249" i="1"/>
  <c r="F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F260" i="1"/>
  <c r="G260" i="1"/>
  <c r="G261" i="1" s="1"/>
  <c r="H260" i="1"/>
  <c r="I260" i="1"/>
  <c r="I261" i="1" s="1"/>
  <c r="J260" i="1"/>
  <c r="K260" i="1"/>
  <c r="K261" i="1" s="1"/>
  <c r="L260" i="1"/>
  <c r="L261" i="1" s="1"/>
  <c r="M260" i="1"/>
  <c r="M261" i="1" s="1"/>
  <c r="N260" i="1"/>
  <c r="O260" i="1"/>
  <c r="O261" i="1" s="1"/>
  <c r="P260" i="1"/>
  <c r="Q260" i="1"/>
  <c r="Q261" i="1" s="1"/>
  <c r="R260" i="1"/>
  <c r="S260" i="1"/>
  <c r="S261" i="1" s="1"/>
  <c r="T260" i="1"/>
  <c r="T261" i="1" s="1"/>
  <c r="F261" i="1"/>
  <c r="H261" i="1"/>
  <c r="J261" i="1"/>
  <c r="N261" i="1"/>
  <c r="P261" i="1"/>
  <c r="R261" i="1"/>
  <c r="F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F272" i="1"/>
  <c r="G272" i="1"/>
  <c r="H272" i="1"/>
  <c r="I272" i="1"/>
  <c r="I273" i="1" s="1"/>
  <c r="J272" i="1"/>
  <c r="J273" i="1" s="1"/>
  <c r="F273" i="1"/>
  <c r="G273" i="1"/>
  <c r="H273" i="1"/>
  <c r="K273" i="1"/>
  <c r="L273" i="1"/>
  <c r="M273" i="1"/>
  <c r="N273" i="1"/>
  <c r="O273" i="1"/>
  <c r="P273" i="1"/>
  <c r="Q273" i="1"/>
  <c r="R273" i="1"/>
  <c r="S273" i="1"/>
  <c r="T273" i="1"/>
  <c r="F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F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F296" i="1"/>
  <c r="F297" i="1" s="1"/>
  <c r="G296" i="1"/>
  <c r="G297" i="1" s="1"/>
  <c r="H296" i="1"/>
  <c r="H297" i="1" s="1"/>
  <c r="I296" i="1"/>
  <c r="J296" i="1"/>
  <c r="J297" i="1" s="1"/>
  <c r="K296" i="1"/>
  <c r="L296" i="1"/>
  <c r="L297" i="1" s="1"/>
  <c r="M296" i="1"/>
  <c r="N296" i="1"/>
  <c r="N297" i="1" s="1"/>
  <c r="O296" i="1"/>
  <c r="O297" i="1" s="1"/>
  <c r="P296" i="1"/>
  <c r="P297" i="1" s="1"/>
  <c r="Q296" i="1"/>
  <c r="R296" i="1"/>
  <c r="R297" i="1" s="1"/>
  <c r="S296" i="1"/>
  <c r="T296" i="1"/>
  <c r="T297" i="1" s="1"/>
  <c r="I297" i="1"/>
  <c r="K297" i="1"/>
  <c r="M297" i="1"/>
  <c r="Q297" i="1"/>
  <c r="S297" i="1"/>
  <c r="F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F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F320" i="1"/>
  <c r="G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F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F332" i="1"/>
  <c r="F333" i="1" s="1"/>
  <c r="G332" i="1"/>
  <c r="G333" i="1" s="1"/>
  <c r="H332" i="1"/>
  <c r="H333" i="1" s="1"/>
  <c r="I333" i="1"/>
  <c r="J333" i="1"/>
  <c r="K333" i="1"/>
  <c r="L333" i="1"/>
  <c r="M333" i="1"/>
  <c r="N333" i="1"/>
  <c r="O333" i="1"/>
  <c r="P333" i="1"/>
  <c r="Q333" i="1"/>
  <c r="R333" i="1"/>
  <c r="S333" i="1"/>
  <c r="T333" i="1"/>
  <c r="F335" i="1"/>
  <c r="F336" i="1" s="1"/>
  <c r="G335" i="1"/>
  <c r="H335" i="1"/>
  <c r="I335" i="1"/>
  <c r="I336" i="1" s="1"/>
  <c r="J335" i="1"/>
  <c r="J336" i="1" s="1"/>
  <c r="K335" i="1"/>
  <c r="K336" i="1" s="1"/>
  <c r="L335" i="1"/>
  <c r="L336" i="1" s="1"/>
  <c r="M335" i="1"/>
  <c r="N335" i="1"/>
  <c r="O335" i="1"/>
  <c r="P335" i="1"/>
  <c r="Q335" i="1"/>
  <c r="Q336" i="1" s="1"/>
  <c r="R335" i="1"/>
  <c r="R336" i="1" s="1"/>
  <c r="S335" i="1"/>
  <c r="S336" i="1" s="1"/>
  <c r="T335" i="1"/>
  <c r="T336" i="1" s="1"/>
  <c r="H336" i="1"/>
  <c r="M336" i="1"/>
  <c r="N336" i="1"/>
  <c r="O336" i="1"/>
  <c r="P336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F365" i="1"/>
  <c r="F366" i="1" s="1"/>
  <c r="G365" i="1"/>
  <c r="H365" i="1"/>
  <c r="H366" i="1" s="1"/>
  <c r="I365" i="1"/>
  <c r="J365" i="1"/>
  <c r="K365" i="1"/>
  <c r="L365" i="1"/>
  <c r="L366" i="1" s="1"/>
  <c r="M365" i="1"/>
  <c r="M366" i="1" s="1"/>
  <c r="N365" i="1"/>
  <c r="N366" i="1" s="1"/>
  <c r="O365" i="1"/>
  <c r="P365" i="1"/>
  <c r="P366" i="1" s="1"/>
  <c r="Q365" i="1"/>
  <c r="R365" i="1"/>
  <c r="G366" i="1"/>
  <c r="I366" i="1"/>
  <c r="J366" i="1"/>
  <c r="K366" i="1"/>
  <c r="O366" i="1"/>
  <c r="Q366" i="1"/>
  <c r="R366" i="1"/>
  <c r="S366" i="1"/>
  <c r="T366" i="1"/>
  <c r="F368" i="1"/>
  <c r="F369" i="1" s="1"/>
  <c r="G368" i="1"/>
  <c r="H368" i="1"/>
  <c r="H369" i="1" s="1"/>
  <c r="I368" i="1"/>
  <c r="I369" i="1" s="1"/>
  <c r="J368" i="1"/>
  <c r="J369" i="1" s="1"/>
  <c r="K368" i="1"/>
  <c r="L368" i="1"/>
  <c r="M368" i="1"/>
  <c r="N368" i="1"/>
  <c r="O368" i="1"/>
  <c r="O369" i="1" s="1"/>
  <c r="P368" i="1"/>
  <c r="P369" i="1" s="1"/>
  <c r="Q368" i="1"/>
  <c r="Q369" i="1" s="1"/>
  <c r="R368" i="1"/>
  <c r="R369" i="1" s="1"/>
  <c r="S368" i="1"/>
  <c r="T368" i="1"/>
  <c r="K369" i="1"/>
  <c r="L369" i="1"/>
  <c r="M369" i="1"/>
  <c r="N369" i="1"/>
  <c r="S369" i="1"/>
  <c r="T369" i="1"/>
  <c r="F370" i="1"/>
  <c r="G370" i="1"/>
  <c r="H370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F377" i="1"/>
  <c r="G377" i="1"/>
  <c r="H377" i="1"/>
  <c r="I377" i="1"/>
  <c r="J377" i="1"/>
  <c r="J378" i="1" s="1"/>
  <c r="K377" i="1"/>
  <c r="K378" i="1" s="1"/>
  <c r="L377" i="1"/>
  <c r="M377" i="1"/>
  <c r="F378" i="1"/>
  <c r="G378" i="1"/>
  <c r="H378" i="1"/>
  <c r="I378" i="1"/>
  <c r="L378" i="1"/>
  <c r="M378" i="1"/>
  <c r="N378" i="1"/>
  <c r="O378" i="1"/>
  <c r="P378" i="1"/>
  <c r="Q378" i="1"/>
  <c r="R378" i="1"/>
  <c r="S378" i="1"/>
  <c r="T378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F391" i="1"/>
  <c r="F392" i="1" s="1"/>
  <c r="G391" i="1"/>
  <c r="H391" i="1"/>
  <c r="H392" i="1" s="1"/>
  <c r="I391" i="1"/>
  <c r="J391" i="1"/>
  <c r="K391" i="1"/>
  <c r="L391" i="1"/>
  <c r="M391" i="1"/>
  <c r="M392" i="1" s="1"/>
  <c r="N391" i="1"/>
  <c r="N392" i="1" s="1"/>
  <c r="O391" i="1"/>
  <c r="O392" i="1" s="1"/>
  <c r="P391" i="1"/>
  <c r="P392" i="1" s="1"/>
  <c r="Q391" i="1"/>
  <c r="R391" i="1"/>
  <c r="S391" i="1"/>
  <c r="T391" i="1"/>
  <c r="I392" i="1"/>
  <c r="J392" i="1"/>
  <c r="K392" i="1"/>
  <c r="L392" i="1"/>
  <c r="Q392" i="1"/>
  <c r="R392" i="1"/>
  <c r="S392" i="1"/>
  <c r="T392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F403" i="1"/>
  <c r="F404" i="1" s="1"/>
  <c r="G403" i="1"/>
  <c r="H403" i="1"/>
  <c r="I403" i="1"/>
  <c r="J403" i="1"/>
  <c r="K403" i="1"/>
  <c r="K404" i="1" s="1"/>
  <c r="L403" i="1"/>
  <c r="L404" i="1" s="1"/>
  <c r="M403" i="1"/>
  <c r="M404" i="1" s="1"/>
  <c r="N403" i="1"/>
  <c r="N404" i="1" s="1"/>
  <c r="O403" i="1"/>
  <c r="P403" i="1"/>
  <c r="Q403" i="1"/>
  <c r="R403" i="1"/>
  <c r="S403" i="1"/>
  <c r="S404" i="1" s="1"/>
  <c r="T403" i="1"/>
  <c r="T404" i="1" s="1"/>
  <c r="H404" i="1"/>
  <c r="I404" i="1"/>
  <c r="J404" i="1"/>
  <c r="O404" i="1"/>
  <c r="P404" i="1"/>
  <c r="Q404" i="1"/>
  <c r="R404" i="1"/>
  <c r="F405" i="1"/>
  <c r="G405" i="1"/>
  <c r="H405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F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F437" i="1"/>
  <c r="F438" i="1" s="1"/>
  <c r="G437" i="1"/>
  <c r="H437" i="1"/>
  <c r="H438" i="1" s="1"/>
  <c r="I437" i="1"/>
  <c r="J437" i="1"/>
  <c r="K437" i="1"/>
  <c r="L437" i="1"/>
  <c r="M437" i="1"/>
  <c r="M438" i="1" s="1"/>
  <c r="N437" i="1"/>
  <c r="N438" i="1" s="1"/>
  <c r="O437" i="1"/>
  <c r="O438" i="1" s="1"/>
  <c r="P437" i="1"/>
  <c r="P438" i="1" s="1"/>
  <c r="Q437" i="1"/>
  <c r="R437" i="1"/>
  <c r="S437" i="1"/>
  <c r="T437" i="1"/>
  <c r="I438" i="1"/>
  <c r="J438" i="1"/>
  <c r="K438" i="1"/>
  <c r="L438" i="1"/>
  <c r="Q438" i="1"/>
  <c r="R438" i="1"/>
  <c r="S438" i="1"/>
  <c r="T438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F446" i="1"/>
  <c r="F447" i="1" s="1"/>
  <c r="G446" i="1"/>
  <c r="G447" i="1" s="1"/>
  <c r="H446" i="1"/>
  <c r="I446" i="1"/>
  <c r="J446" i="1"/>
  <c r="K446" i="1"/>
  <c r="K447" i="1" s="1"/>
  <c r="L446" i="1"/>
  <c r="L447" i="1" s="1"/>
  <c r="M446" i="1"/>
  <c r="M447" i="1" s="1"/>
  <c r="N446" i="1"/>
  <c r="N447" i="1" s="1"/>
  <c r="O446" i="1"/>
  <c r="O447" i="1" s="1"/>
  <c r="P446" i="1"/>
  <c r="Q446" i="1"/>
  <c r="R446" i="1"/>
  <c r="H447" i="1"/>
  <c r="I447" i="1"/>
  <c r="J447" i="1"/>
  <c r="P447" i="1"/>
  <c r="Q447" i="1"/>
  <c r="R447" i="1"/>
  <c r="S447" i="1"/>
  <c r="T447" i="1"/>
  <c r="F460" i="1"/>
  <c r="G460" i="1"/>
  <c r="G461" i="1" s="1"/>
  <c r="H460" i="1"/>
  <c r="H461" i="1" s="1"/>
  <c r="I460" i="1"/>
  <c r="I461" i="1" s="1"/>
  <c r="J460" i="1"/>
  <c r="K460" i="1"/>
  <c r="K461" i="1" s="1"/>
  <c r="L460" i="1"/>
  <c r="M460" i="1"/>
  <c r="M461" i="1" s="1"/>
  <c r="N460" i="1"/>
  <c r="O460" i="1"/>
  <c r="O461" i="1" s="1"/>
  <c r="P460" i="1"/>
  <c r="P461" i="1" s="1"/>
  <c r="Q460" i="1"/>
  <c r="Q461" i="1" s="1"/>
  <c r="R460" i="1"/>
  <c r="S460" i="1"/>
  <c r="S461" i="1" s="1"/>
  <c r="T460" i="1"/>
  <c r="F461" i="1"/>
  <c r="J461" i="1"/>
  <c r="L461" i="1"/>
  <c r="N461" i="1"/>
  <c r="R461" i="1"/>
  <c r="T461" i="1"/>
  <c r="F469" i="1"/>
  <c r="G469" i="1"/>
  <c r="G470" i="1" s="1"/>
  <c r="H469" i="1"/>
  <c r="I469" i="1"/>
  <c r="I470" i="1" s="1"/>
  <c r="J469" i="1"/>
  <c r="J470" i="1" s="1"/>
  <c r="K469" i="1"/>
  <c r="K470" i="1" s="1"/>
  <c r="L469" i="1"/>
  <c r="M469" i="1"/>
  <c r="M470" i="1" s="1"/>
  <c r="N469" i="1"/>
  <c r="O469" i="1"/>
  <c r="O470" i="1" s="1"/>
  <c r="P469" i="1"/>
  <c r="Q469" i="1"/>
  <c r="Q470" i="1" s="1"/>
  <c r="R469" i="1"/>
  <c r="R470" i="1" s="1"/>
  <c r="S469" i="1"/>
  <c r="S470" i="1" s="1"/>
  <c r="T469" i="1"/>
  <c r="F470" i="1"/>
  <c r="H470" i="1"/>
  <c r="L470" i="1"/>
  <c r="N470" i="1"/>
  <c r="P470" i="1"/>
  <c r="T470" i="1"/>
  <c r="F481" i="1"/>
  <c r="G481" i="1"/>
  <c r="G482" i="1" s="1"/>
  <c r="H481" i="1"/>
  <c r="I481" i="1"/>
  <c r="I482" i="1" s="1"/>
  <c r="J481" i="1"/>
  <c r="K481" i="1"/>
  <c r="K482" i="1" s="1"/>
  <c r="L481" i="1"/>
  <c r="L482" i="1" s="1"/>
  <c r="M481" i="1"/>
  <c r="M482" i="1" s="1"/>
  <c r="N481" i="1"/>
  <c r="O481" i="1"/>
  <c r="O482" i="1" s="1"/>
  <c r="P481" i="1"/>
  <c r="Q481" i="1"/>
  <c r="Q482" i="1" s="1"/>
  <c r="R481" i="1"/>
  <c r="S481" i="1"/>
  <c r="S482" i="1" s="1"/>
  <c r="T481" i="1"/>
  <c r="T482" i="1" s="1"/>
  <c r="F482" i="1"/>
  <c r="H482" i="1"/>
  <c r="J482" i="1"/>
  <c r="N482" i="1"/>
  <c r="P482" i="1"/>
  <c r="R48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F501" i="1"/>
  <c r="G501" i="1"/>
  <c r="H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F510" i="1"/>
  <c r="G510" i="1"/>
  <c r="G511" i="1" s="1"/>
  <c r="H510" i="1"/>
  <c r="H511" i="1" s="1"/>
  <c r="I510" i="1"/>
  <c r="I511" i="1" s="1"/>
  <c r="J510" i="1"/>
  <c r="K510" i="1"/>
  <c r="K511" i="1" s="1"/>
  <c r="L510" i="1"/>
  <c r="M510" i="1"/>
  <c r="M511" i="1" s="1"/>
  <c r="N510" i="1"/>
  <c r="O510" i="1"/>
  <c r="O511" i="1" s="1"/>
  <c r="P510" i="1"/>
  <c r="P511" i="1" s="1"/>
  <c r="Q510" i="1"/>
  <c r="Q511" i="1" s="1"/>
  <c r="R510" i="1"/>
  <c r="S510" i="1"/>
  <c r="S511" i="1" s="1"/>
  <c r="T510" i="1"/>
  <c r="F511" i="1"/>
  <c r="J511" i="1"/>
  <c r="L511" i="1"/>
  <c r="N511" i="1"/>
  <c r="R511" i="1"/>
  <c r="T511" i="1"/>
  <c r="F519" i="1"/>
  <c r="G519" i="1"/>
  <c r="G520" i="1" s="1"/>
  <c r="H519" i="1"/>
  <c r="I519" i="1"/>
  <c r="I520" i="1" s="1"/>
  <c r="J519" i="1"/>
  <c r="J520" i="1" s="1"/>
  <c r="K519" i="1"/>
  <c r="K520" i="1" s="1"/>
  <c r="L519" i="1"/>
  <c r="M519" i="1"/>
  <c r="M520" i="1" s="1"/>
  <c r="N519" i="1"/>
  <c r="O519" i="1"/>
  <c r="O520" i="1" s="1"/>
  <c r="P519" i="1"/>
  <c r="Q519" i="1"/>
  <c r="Q520" i="1" s="1"/>
  <c r="R519" i="1"/>
  <c r="R520" i="1" s="1"/>
  <c r="S519" i="1"/>
  <c r="S520" i="1" s="1"/>
  <c r="T519" i="1"/>
  <c r="F520" i="1"/>
  <c r="H520" i="1"/>
  <c r="L520" i="1"/>
  <c r="N520" i="1"/>
  <c r="P520" i="1"/>
  <c r="T520" i="1"/>
  <c r="F538" i="1"/>
  <c r="G538" i="1"/>
  <c r="G539" i="1" s="1"/>
  <c r="H538" i="1"/>
  <c r="I538" i="1"/>
  <c r="I539" i="1" s="1"/>
  <c r="J538" i="1"/>
  <c r="K538" i="1"/>
  <c r="K539" i="1" s="1"/>
  <c r="L538" i="1"/>
  <c r="L539" i="1" s="1"/>
  <c r="M538" i="1"/>
  <c r="M539" i="1" s="1"/>
  <c r="N538" i="1"/>
  <c r="O538" i="1"/>
  <c r="O539" i="1" s="1"/>
  <c r="P538" i="1"/>
  <c r="Q538" i="1"/>
  <c r="Q539" i="1" s="1"/>
  <c r="R538" i="1"/>
  <c r="S538" i="1"/>
  <c r="S539" i="1" s="1"/>
  <c r="T538" i="1"/>
  <c r="T539" i="1" s="1"/>
  <c r="F539" i="1"/>
  <c r="H539" i="1"/>
  <c r="J539" i="1"/>
  <c r="N539" i="1"/>
  <c r="P539" i="1"/>
  <c r="R539" i="1"/>
  <c r="J550" i="1"/>
  <c r="K550" i="1"/>
  <c r="L550" i="1"/>
  <c r="M550" i="1"/>
  <c r="N550" i="1"/>
  <c r="F559" i="1"/>
  <c r="G559" i="1"/>
  <c r="H559" i="1"/>
  <c r="I559" i="1"/>
  <c r="J559" i="1"/>
  <c r="J560" i="1" s="1"/>
  <c r="K559" i="1"/>
  <c r="K560" i="1" s="1"/>
  <c r="L559" i="1"/>
  <c r="L560" i="1" s="1"/>
  <c r="M559" i="1"/>
  <c r="N559" i="1"/>
  <c r="O559" i="1"/>
  <c r="P559" i="1"/>
  <c r="F560" i="1"/>
  <c r="G560" i="1"/>
  <c r="H560" i="1"/>
  <c r="I560" i="1"/>
  <c r="M560" i="1"/>
  <c r="N560" i="1"/>
  <c r="O560" i="1"/>
  <c r="P560" i="1"/>
  <c r="Q560" i="1"/>
  <c r="R560" i="1"/>
  <c r="S560" i="1"/>
  <c r="T56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F592" i="1"/>
  <c r="G592" i="1"/>
  <c r="G593" i="1" s="1"/>
  <c r="H592" i="1"/>
  <c r="H593" i="1" s="1"/>
  <c r="I592" i="1"/>
  <c r="I593" i="1" s="1"/>
  <c r="J592" i="1"/>
  <c r="J593" i="1" s="1"/>
  <c r="F593" i="1"/>
  <c r="K593" i="1"/>
  <c r="L593" i="1"/>
  <c r="M593" i="1"/>
  <c r="N593" i="1"/>
  <c r="O593" i="1"/>
  <c r="P593" i="1"/>
  <c r="Q593" i="1"/>
  <c r="R593" i="1"/>
  <c r="S593" i="1"/>
  <c r="T593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F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</calcChain>
</file>

<file path=xl/sharedStrings.xml><?xml version="1.0" encoding="utf-8"?>
<sst xmlns="http://schemas.openxmlformats.org/spreadsheetml/2006/main" count="591" uniqueCount="164">
  <si>
    <t>TCO DELIVERED - VARIOUS CITYGATES</t>
  </si>
  <si>
    <t>OP 1</t>
  </si>
  <si>
    <t>MKT 33</t>
  </si>
  <si>
    <t>FOM</t>
  </si>
  <si>
    <t>DAILY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</si>
  <si>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</si>
  <si>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</si>
  <si>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</si>
  <si>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</si>
  <si>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</si>
  <si>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</si>
  <si>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</si>
  <si>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</si>
  <si>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</si>
  <si>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</si>
  <si>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</si>
  <si>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</si>
  <si>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</si>
  <si>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</si>
  <si>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</si>
  <si>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</si>
  <si>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</si>
  <si>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</si>
  <si>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</si>
  <si>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</si>
  <si>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</si>
  <si>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</si>
  <si>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</si>
  <si>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</si>
  <si>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</si>
  <si>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</si>
  <si>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</si>
  <si>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</si>
  <si>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</si>
  <si>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</si>
  <si>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</si>
  <si>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</si>
  <si>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</si>
  <si>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</si>
  <si>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</si>
  <si>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</si>
  <si>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</si>
  <si>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</si>
  <si>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</si>
  <si>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</si>
  <si>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</si>
  <si>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</si>
  <si>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</si>
  <si>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</si>
  <si>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</si>
  <si>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</si>
  <si>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</si>
  <si>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</si>
  <si>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</si>
  <si>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</si>
  <si>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</si>
  <si>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</si>
  <si>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</si>
  <si>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</si>
  <si>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</si>
  <si>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</si>
  <si>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</si>
  <si>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</si>
  <si>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</si>
  <si>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</si>
  <si>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</si>
  <si>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</si>
  <si>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</si>
  <si>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</si>
  <si>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</si>
  <si>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</si>
  <si>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</si>
  <si>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</si>
  <si>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</si>
  <si>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</si>
  <si>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</si>
  <si>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</si>
  <si>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</si>
  <si>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</si>
  <si>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</si>
  <si>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</si>
  <si>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</si>
  <si>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</si>
  <si>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</si>
  <si>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</si>
  <si>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</si>
  <si>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</si>
  <si>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</si>
  <si>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</si>
  <si>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</si>
  <si>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</si>
  <si>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</si>
  <si>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</si>
  <si>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</si>
  <si>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</si>
  <si>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</si>
  <si>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</si>
  <si>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</si>
  <si>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</si>
  <si>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</si>
  <si>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</si>
  <si>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</si>
  <si>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</si>
  <si>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</si>
  <si>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</si>
  <si>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</si>
  <si>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</si>
  <si>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</si>
  <si>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</si>
  <si>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</si>
  <si>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</si>
  <si>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</si>
  <si>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</si>
  <si>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</si>
  <si>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</si>
  <si>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</si>
  <si>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</si>
  <si>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</si>
  <si>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DAILY (GDD-TRANSCO NNY)</t>
  </si>
  <si>
    <t>FOM (IF-TETCO M3)</t>
  </si>
  <si>
    <t>FOM (IF-TRANSCO NY)</t>
  </si>
  <si>
    <t>DAILY (GDD-TRANSCO NY)</t>
  </si>
  <si>
    <t>NO ADDITIONAL NEEDS</t>
  </si>
  <si>
    <t>FOM (IF-TCO APP. POOL)</t>
  </si>
  <si>
    <t>DAILY (GDD-TCO POOL)</t>
  </si>
  <si>
    <t>DAILY (GDD-TETCO M3)</t>
  </si>
  <si>
    <t>FOM (IF-CNG APP)</t>
  </si>
  <si>
    <t>DAILY (GDD-CNG SOUTH POOL)</t>
  </si>
  <si>
    <t>MICHCON</t>
  </si>
  <si>
    <t>NIPSCO</t>
  </si>
  <si>
    <t>FOM (NGI-CHICAGO)</t>
  </si>
  <si>
    <t>DAILY (GDD-CHICAGO)</t>
  </si>
  <si>
    <t>DAILY (GDD-ANR ML7)</t>
  </si>
  <si>
    <t>FOM (GDM-ANR ML7)</t>
  </si>
  <si>
    <t>TCO POOL FOM I-FERC PREMIUM</t>
  </si>
  <si>
    <t>INC. COMM &amp; FUEL W/ $2.50 POOL</t>
  </si>
  <si>
    <t xml:space="preserve">SECONDARY TRANSPORT FROM POOL - </t>
  </si>
  <si>
    <t>DAILY (GDD-TENNESSEE Z6)</t>
  </si>
  <si>
    <t xml:space="preserve">FOM (IF-TETCO M3) </t>
  </si>
  <si>
    <t>DAILY (GDD-Algonquin)</t>
  </si>
  <si>
    <t>ALL DEALS ARE BACK TO BACK - VOLUMETRIC</t>
  </si>
  <si>
    <t>DAILY (GDD-CNG NORTH POOL)</t>
  </si>
  <si>
    <t>FOM (IF-SONAT LA)</t>
  </si>
  <si>
    <t>DAILY (GDD-SONAT LA)</t>
  </si>
  <si>
    <t>FOM (IF-TRANSCO STA 65)</t>
  </si>
  <si>
    <t>DAILY (GDD-TRANSCO STA 65)</t>
  </si>
  <si>
    <t>CES MARKET - COMM &amp; INDUSTRIAL</t>
  </si>
  <si>
    <t>CES MARKET - CHOICE PROGRAMS</t>
  </si>
  <si>
    <t>RETAIL MATRIX</t>
  </si>
  <si>
    <t>point designated by CES.</t>
  </si>
  <si>
    <t>Firm Transport MDQ's will be utilized first for each delivery</t>
  </si>
  <si>
    <t>Pricing for all volumes in excess of Firm Transport MDQ's</t>
  </si>
  <si>
    <t>will equal the stated index (column D) plus the</t>
  </si>
  <si>
    <t>increment found under the month of delivery.</t>
  </si>
  <si>
    <t xml:space="preserve">All differentials stated include all charges to the delivery </t>
  </si>
  <si>
    <t>point based on a $2.50/Dt cost at the receipt 'pool'.</t>
  </si>
  <si>
    <t>All excess pricing assumes secondary firm delivery.</t>
  </si>
  <si>
    <t>TRANSPORT AVAILABLE - Month To Month Release</t>
  </si>
  <si>
    <t>TRANSPORT AVAILABLE - Month to Month</t>
  </si>
  <si>
    <t>NGPL</t>
  </si>
  <si>
    <t>EAST TENNESSEE</t>
  </si>
  <si>
    <t xml:space="preserve">FOM </t>
  </si>
  <si>
    <t>All volumes are stated in Dt/D.</t>
  </si>
  <si>
    <t>CES MARKET - CHOICE PROGRAMS and COMM &amp; 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</si>
</sst>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0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55"/>
  <sheetViews>
    <sheetView tabSelected="1" zoomScale="75" workbookViewId="0">
      <pane xSplit="4" ySplit="14" topLeftCell="E515" activePane="bottomRight" state="frozen"/>
      <selection pane="topRight" activeCell="E1" sqref="E1"/>
      <selection pane="bottomLeft" activeCell="A4" sqref="A4"/>
      <selection pane="bottomRight" activeCell="G627" sqref="G627"/>
    </sheetView>
  </sheetViews>
  <sheetFormatPr defaultRowHeight="12.75" x14ac:dyDescent="0.2"/>
  <cols>
    <col min="2" max="2" width="7.42578125" customWidth="1"/>
    <col min="3" max="3" width="7.140625" customWidth="1"/>
    <col min="4" max="4" width="46.85546875" customWidth="1"/>
    <col min="5" max="5" width="2.85546875" customWidth="1"/>
    <col min="6" max="7" width="13.140625" bestFit="1" customWidth="1"/>
    <col min="8" max="8" width="13.85546875" bestFit="1" customWidth="1"/>
    <col min="9" max="9" width="13.140625" bestFit="1" customWidth="1"/>
    <col min="10" max="20" width="12.140625" bestFit="1" customWidth="1"/>
  </cols>
  <sheetData>
    <row r="1" spans="1:51" x14ac:dyDescent="0.2">
      <c r="A1" s="3" t="s">
        <v>148</v>
      </c>
      <c r="B1" s="3"/>
      <c r="C1" s="3"/>
      <c r="D1" s="3"/>
    </row>
    <row r="2" spans="1:51" x14ac:dyDescent="0.2">
      <c r="A2" s="3"/>
      <c r="B2" s="3"/>
      <c r="C2" s="3"/>
      <c r="D2" s="3"/>
    </row>
    <row r="3" spans="1:51" x14ac:dyDescent="0.2">
      <c r="A3" s="3"/>
      <c r="B3" s="3" t="s">
        <v>150</v>
      </c>
      <c r="C3" s="3"/>
      <c r="D3" s="3"/>
    </row>
    <row r="4" spans="1:51" x14ac:dyDescent="0.2">
      <c r="A4" s="3"/>
      <c r="B4" s="3"/>
      <c r="C4" s="3" t="s">
        <v>149</v>
      </c>
      <c r="D4" s="3"/>
    </row>
    <row r="5" spans="1:51" x14ac:dyDescent="0.2">
      <c r="A5" s="3"/>
      <c r="B5" s="3" t="s">
        <v>151</v>
      </c>
      <c r="C5" s="3"/>
      <c r="D5" s="3"/>
    </row>
    <row r="6" spans="1:51" x14ac:dyDescent="0.2">
      <c r="A6" s="3"/>
      <c r="B6" s="3"/>
      <c r="C6" s="3" t="s">
        <v>152</v>
      </c>
      <c r="D6" s="3"/>
    </row>
    <row r="7" spans="1:51" x14ac:dyDescent="0.2">
      <c r="A7" s="3"/>
      <c r="B7" s="3"/>
      <c r="C7" s="3" t="s">
        <v>153</v>
      </c>
      <c r="D7" s="3"/>
    </row>
    <row r="8" spans="1:51" x14ac:dyDescent="0.2">
      <c r="A8" s="3"/>
      <c r="B8" s="3" t="s">
        <v>154</v>
      </c>
      <c r="C8" s="3"/>
      <c r="D8" s="3"/>
    </row>
    <row r="9" spans="1:51" x14ac:dyDescent="0.2">
      <c r="A9" s="3"/>
      <c r="B9" s="3"/>
      <c r="C9" s="3" t="s">
        <v>155</v>
      </c>
      <c r="D9" s="3"/>
    </row>
    <row r="10" spans="1:51" x14ac:dyDescent="0.2">
      <c r="A10" s="3"/>
      <c r="B10" s="3" t="s">
        <v>156</v>
      </c>
      <c r="C10" s="3"/>
      <c r="D10" s="3"/>
    </row>
    <row r="11" spans="1:51" x14ac:dyDescent="0.2">
      <c r="A11" s="3"/>
      <c r="B11" s="3" t="s">
        <v>162</v>
      </c>
      <c r="C11" s="3"/>
      <c r="D11" s="3"/>
    </row>
    <row r="12" spans="1:51" x14ac:dyDescent="0.2">
      <c r="A12" s="3"/>
      <c r="B12" s="3"/>
      <c r="C12" s="3"/>
      <c r="D12" s="3"/>
    </row>
    <row r="13" spans="1:51" x14ac:dyDescent="0.2">
      <c r="A13" s="3"/>
      <c r="B13" s="3"/>
      <c r="C13" s="3"/>
      <c r="D13" s="3"/>
      <c r="F13" s="3" t="s">
        <v>117</v>
      </c>
    </row>
    <row r="14" spans="1:51" x14ac:dyDescent="0.2">
      <c r="F14" s="2">
        <v>36526</v>
      </c>
      <c r="G14" s="2">
        <v>36557</v>
      </c>
      <c r="H14" s="2">
        <v>36586</v>
      </c>
      <c r="I14" s="2">
        <v>36617</v>
      </c>
      <c r="J14" s="2">
        <v>36647</v>
      </c>
      <c r="K14" s="2">
        <v>36678</v>
      </c>
      <c r="L14" s="2">
        <v>36708</v>
      </c>
      <c r="M14" s="2">
        <v>36739</v>
      </c>
      <c r="N14" s="2">
        <v>36770</v>
      </c>
      <c r="O14" s="2">
        <v>36800</v>
      </c>
      <c r="P14" s="2">
        <v>36831</v>
      </c>
      <c r="Q14" s="2">
        <v>36861</v>
      </c>
      <c r="R14" s="2">
        <v>36892</v>
      </c>
      <c r="S14" s="2">
        <v>36923</v>
      </c>
      <c r="T14" s="2">
        <v>36951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s="3" customFormat="1" x14ac:dyDescent="0.2"/>
    <row r="16" spans="1:51" x14ac:dyDescent="0.2">
      <c r="A16" s="3" t="s">
        <v>0</v>
      </c>
      <c r="B16" s="3"/>
      <c r="C16" s="3"/>
      <c r="D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3" x14ac:dyDescent="0.2">
      <c r="B17" s="3" t="s">
        <v>134</v>
      </c>
      <c r="C17" s="3"/>
      <c r="D17" s="3"/>
      <c r="E17" s="3"/>
      <c r="F17" s="4">
        <v>7.4999999999999997E-3</v>
      </c>
      <c r="G17" s="4">
        <v>7.4999999999999997E-3</v>
      </c>
      <c r="H17" s="4">
        <v>7.4999999999999997E-3</v>
      </c>
      <c r="I17" s="4">
        <v>7.4999999999999997E-3</v>
      </c>
      <c r="J17" s="4">
        <v>7.4999999999999997E-3</v>
      </c>
      <c r="K17" s="4">
        <v>7.4999999999999997E-3</v>
      </c>
      <c r="L17" s="4">
        <v>7.4999999999999997E-3</v>
      </c>
      <c r="M17" s="4">
        <v>7.4999999999999997E-3</v>
      </c>
      <c r="N17" s="4">
        <v>7.4999999999999997E-3</v>
      </c>
      <c r="O17" s="4">
        <v>7.4999999999999997E-3</v>
      </c>
      <c r="P17" s="4">
        <v>1.2500000000000001E-2</v>
      </c>
      <c r="Q17" s="4">
        <v>1.2500000000000001E-2</v>
      </c>
      <c r="R17" s="4">
        <v>1.2500000000000001E-2</v>
      </c>
      <c r="S17" s="4">
        <v>1.2500000000000001E-2</v>
      </c>
      <c r="T17" s="4">
        <v>1.2500000000000001E-2</v>
      </c>
      <c r="U17" s="3"/>
      <c r="V17" s="3"/>
      <c r="W17" s="3"/>
    </row>
    <row r="18" spans="2:23" x14ac:dyDescent="0.2">
      <c r="B18" s="3" t="s">
        <v>136</v>
      </c>
      <c r="C18" s="3"/>
      <c r="D18" s="3"/>
      <c r="E18" s="3"/>
      <c r="F18" s="4">
        <v>0.22</v>
      </c>
      <c r="G18" s="4">
        <v>0.22</v>
      </c>
      <c r="H18" s="4">
        <v>0.19</v>
      </c>
      <c r="I18" s="4">
        <v>0.15</v>
      </c>
      <c r="J18" s="4">
        <v>0.11</v>
      </c>
      <c r="K18" s="4">
        <v>0.11</v>
      </c>
      <c r="L18" s="4">
        <v>0.11</v>
      </c>
      <c r="M18" s="4">
        <v>0.11</v>
      </c>
      <c r="N18" s="4">
        <v>0.11</v>
      </c>
      <c r="O18" s="4">
        <v>0.15</v>
      </c>
      <c r="P18" s="4">
        <v>0.19</v>
      </c>
      <c r="Q18" s="4">
        <v>0.2</v>
      </c>
      <c r="R18" s="4">
        <v>0.22</v>
      </c>
      <c r="S18" s="4">
        <v>0.22</v>
      </c>
      <c r="T18" s="4">
        <v>0.19</v>
      </c>
      <c r="U18" s="3"/>
      <c r="V18" s="3"/>
      <c r="W18" s="3"/>
    </row>
    <row r="19" spans="2:23" x14ac:dyDescent="0.2">
      <c r="B19" s="3"/>
      <c r="C19" s="3" t="s">
        <v>135</v>
      </c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/>
      <c r="V19" s="3"/>
      <c r="W19" s="3"/>
    </row>
    <row r="20" spans="2:23" x14ac:dyDescent="0.2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3" x14ac:dyDescent="0.2">
      <c r="B21" s="3" t="s">
        <v>1</v>
      </c>
      <c r="C21" s="3" t="s">
        <v>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3" x14ac:dyDescent="0.2">
      <c r="D22" t="s">
        <v>123</v>
      </c>
      <c r="F22" s="5">
        <f>$F$17+$F$18</f>
        <v>0.22750000000000001</v>
      </c>
      <c r="G22" s="5">
        <f>$G$17+$G$18</f>
        <v>0.22750000000000001</v>
      </c>
      <c r="H22" s="5">
        <f>$H$17+$H$18</f>
        <v>0.19750000000000001</v>
      </c>
      <c r="I22" s="5">
        <f>$I$17+$I$18</f>
        <v>0.1575</v>
      </c>
      <c r="J22" s="5">
        <f>$J$17+$J$18</f>
        <v>0.11749999999999999</v>
      </c>
      <c r="K22" s="5">
        <f>$K$17+$K$18</f>
        <v>0.11749999999999999</v>
      </c>
      <c r="L22" s="5">
        <f>$L$17+$L$18</f>
        <v>0.11749999999999999</v>
      </c>
      <c r="M22" s="5">
        <f>$M$17+$M$18</f>
        <v>0.11749999999999999</v>
      </c>
      <c r="N22" s="5">
        <f>$N$17+$N$18</f>
        <v>0.11749999999999999</v>
      </c>
      <c r="O22" s="5">
        <f>$O$17+$O$18</f>
        <v>0.1575</v>
      </c>
      <c r="P22" s="5">
        <f>$P$17+$P$18</f>
        <v>0.20250000000000001</v>
      </c>
      <c r="Q22" s="5">
        <f>$Q$17+$Q$18</f>
        <v>0.21250000000000002</v>
      </c>
      <c r="R22" s="5">
        <f>$R$17+$R$18</f>
        <v>0.23250000000000001</v>
      </c>
      <c r="S22" s="5">
        <f>$S$17+$S$18</f>
        <v>0.23250000000000001</v>
      </c>
      <c r="T22" s="5">
        <f>$T$17+$T$18</f>
        <v>0.20250000000000001</v>
      </c>
    </row>
    <row r="23" spans="2:23" x14ac:dyDescent="0.2">
      <c r="D23" t="s">
        <v>124</v>
      </c>
      <c r="F23" s="5">
        <f>$F$17+$F$18</f>
        <v>0.22750000000000001</v>
      </c>
      <c r="G23" s="5">
        <f>$G$17+$G$18</f>
        <v>0.22750000000000001</v>
      </c>
      <c r="H23" s="5">
        <f>$H$17+$H$18</f>
        <v>0.19750000000000001</v>
      </c>
      <c r="I23" s="5">
        <f>$I$17+$I$18</f>
        <v>0.1575</v>
      </c>
      <c r="J23" s="5">
        <f>$J$17+$J$18</f>
        <v>0.11749999999999999</v>
      </c>
      <c r="K23" s="5">
        <f>$K$17+$K$18</f>
        <v>0.11749999999999999</v>
      </c>
      <c r="L23" s="5">
        <f>$L$17+$L$18</f>
        <v>0.11749999999999999</v>
      </c>
      <c r="M23" s="5">
        <f>$M$17+$M$18</f>
        <v>0.11749999999999999</v>
      </c>
      <c r="N23" s="5">
        <f>$N$17+$N$18</f>
        <v>0.11749999999999999</v>
      </c>
      <c r="O23" s="5">
        <f>$O$17+$O$18</f>
        <v>0.1575</v>
      </c>
      <c r="P23" s="5">
        <f>$P$17+$P$18</f>
        <v>0.20250000000000001</v>
      </c>
      <c r="Q23" s="5">
        <f>$Q$17+$Q$18</f>
        <v>0.21250000000000002</v>
      </c>
      <c r="R23" s="5">
        <f>$R$17+$R$18</f>
        <v>0.23250000000000001</v>
      </c>
      <c r="S23" s="5">
        <f>$S$17+$S$18</f>
        <v>0.23250000000000001</v>
      </c>
      <c r="T23" s="5">
        <f>$T$17+$T$18</f>
        <v>0.20250000000000001</v>
      </c>
    </row>
    <row r="24" spans="2:23" x14ac:dyDescent="0.2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3" x14ac:dyDescent="0.2">
      <c r="C25" t="s">
        <v>146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8"/>
      <c r="V25" s="8"/>
      <c r="W25" s="8"/>
    </row>
    <row r="26" spans="2:23" x14ac:dyDescent="0.2">
      <c r="C26" t="s">
        <v>116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2:23" x14ac:dyDescent="0.2">
      <c r="C27" t="s">
        <v>147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2:23" x14ac:dyDescent="0.2">
      <c r="C28" t="s">
        <v>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2:23" x14ac:dyDescent="0.2">
      <c r="C29" t="s">
        <v>5</v>
      </c>
      <c r="F29" s="5" t="s">
        <v>80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3" x14ac:dyDescent="0.2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3" x14ac:dyDescent="0.2">
      <c r="B31" s="3" t="s">
        <v>1</v>
      </c>
      <c r="C31" s="3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3" x14ac:dyDescent="0.2">
      <c r="D32" t="s">
        <v>123</v>
      </c>
      <c r="F32" s="5">
        <f>$F$17+$F$18</f>
        <v>0.22750000000000001</v>
      </c>
      <c r="G32" s="5">
        <f>$G$17+$G$18</f>
        <v>0.22750000000000001</v>
      </c>
      <c r="H32" s="5">
        <f>$H$17+$H$18</f>
        <v>0.19750000000000001</v>
      </c>
      <c r="I32" s="5">
        <f>$I$17+$I$18</f>
        <v>0.1575</v>
      </c>
      <c r="J32" s="5">
        <f>$J$17+$J$18</f>
        <v>0.11749999999999999</v>
      </c>
      <c r="K32" s="5">
        <f>$K$17+$K$18</f>
        <v>0.11749999999999999</v>
      </c>
      <c r="L32" s="5">
        <f>$L$17+$L$18</f>
        <v>0.11749999999999999</v>
      </c>
      <c r="M32" s="5">
        <f>$M$17+$M$18</f>
        <v>0.11749999999999999</v>
      </c>
      <c r="N32" s="5">
        <f>$N$17+$N$18</f>
        <v>0.11749999999999999</v>
      </c>
      <c r="O32" s="5">
        <f>$O$17+$O$18</f>
        <v>0.1575</v>
      </c>
      <c r="P32" s="5">
        <f>$P$17+$P$18</f>
        <v>0.20250000000000001</v>
      </c>
      <c r="Q32" s="5">
        <f>$Q$17+$Q$18</f>
        <v>0.21250000000000002</v>
      </c>
      <c r="R32" s="5">
        <f>$R$17+$R$18</f>
        <v>0.23250000000000001</v>
      </c>
      <c r="S32" s="5">
        <f>$S$17+$S$18</f>
        <v>0.23250000000000001</v>
      </c>
      <c r="T32" s="5">
        <f>$T$17+$T$18</f>
        <v>0.20250000000000001</v>
      </c>
    </row>
    <row r="33" spans="2:20" x14ac:dyDescent="0.2">
      <c r="D33" t="s">
        <v>124</v>
      </c>
      <c r="F33" s="5">
        <f>$F$17+$F$18</f>
        <v>0.22750000000000001</v>
      </c>
      <c r="G33" s="5">
        <f>$G$17+$G$18</f>
        <v>0.22750000000000001</v>
      </c>
      <c r="H33" s="5">
        <f>$H$17+$H$18</f>
        <v>0.19750000000000001</v>
      </c>
      <c r="I33" s="5">
        <f>$I$17+$I$18</f>
        <v>0.1575</v>
      </c>
      <c r="J33" s="5">
        <f>$J$17+$J$18</f>
        <v>0.11749999999999999</v>
      </c>
      <c r="K33" s="5">
        <f>$K$17+$K$18</f>
        <v>0.11749999999999999</v>
      </c>
      <c r="L33" s="5">
        <f>$L$17+$L$18</f>
        <v>0.11749999999999999</v>
      </c>
      <c r="M33" s="5">
        <f>$M$17+$M$18</f>
        <v>0.11749999999999999</v>
      </c>
      <c r="N33" s="5">
        <f>$N$17+$N$18</f>
        <v>0.11749999999999999</v>
      </c>
      <c r="O33" s="5">
        <f>$O$17+$O$18</f>
        <v>0.1575</v>
      </c>
      <c r="P33" s="5">
        <f>$P$17+$P$18</f>
        <v>0.20250000000000001</v>
      </c>
      <c r="Q33" s="5">
        <f>$Q$17+$Q$18</f>
        <v>0.21250000000000002</v>
      </c>
      <c r="R33" s="5">
        <f>$R$17+$R$18</f>
        <v>0.23250000000000001</v>
      </c>
      <c r="S33" s="5">
        <f>$S$17+$S$18</f>
        <v>0.23250000000000001</v>
      </c>
      <c r="T33" s="5">
        <f>$T$17+$T$18</f>
        <v>0.20250000000000001</v>
      </c>
    </row>
    <row r="34" spans="2:20" x14ac:dyDescent="0.2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hidden="1" x14ac:dyDescent="0.2">
      <c r="C35" t="s">
        <v>146</v>
      </c>
      <c r="F35" s="8">
        <v>4633</v>
      </c>
      <c r="G35" s="8">
        <v>4267</v>
      </c>
      <c r="H35" s="8">
        <v>4513</v>
      </c>
      <c r="I35" s="8">
        <v>12658</v>
      </c>
      <c r="J35" s="8">
        <v>6882</v>
      </c>
      <c r="K35" s="8">
        <v>5634</v>
      </c>
      <c r="L35" s="8">
        <v>6291</v>
      </c>
      <c r="M35" s="8">
        <v>6389</v>
      </c>
      <c r="N35" s="8">
        <v>8567</v>
      </c>
      <c r="O35" s="8">
        <v>3300</v>
      </c>
      <c r="P35" s="8">
        <v>3000</v>
      </c>
      <c r="Q35" s="8">
        <v>3400</v>
      </c>
      <c r="R35" s="8">
        <v>3400</v>
      </c>
      <c r="S35" s="8">
        <v>3200</v>
      </c>
      <c r="T35" s="8">
        <v>3400</v>
      </c>
    </row>
    <row r="36" spans="2:20" s="7" customFormat="1" x14ac:dyDescent="0.2">
      <c r="C36" t="s">
        <v>146</v>
      </c>
      <c r="F36" s="9">
        <f>F35/31</f>
        <v>149.45161290322579</v>
      </c>
      <c r="G36" s="9">
        <f>G35/29</f>
        <v>147.13793103448276</v>
      </c>
      <c r="H36" s="9">
        <f t="shared" ref="H36:Q36" si="0">H35/31</f>
        <v>145.58064516129033</v>
      </c>
      <c r="I36" s="9">
        <f>I35/30</f>
        <v>421.93333333333334</v>
      </c>
      <c r="J36" s="9">
        <f t="shared" si="0"/>
        <v>222</v>
      </c>
      <c r="K36" s="9">
        <f>K35/30</f>
        <v>187.8</v>
      </c>
      <c r="L36" s="9">
        <f t="shared" si="0"/>
        <v>202.93548387096774</v>
      </c>
      <c r="M36" s="9">
        <f t="shared" si="0"/>
        <v>206.09677419354838</v>
      </c>
      <c r="N36" s="9">
        <f>N35/30</f>
        <v>285.56666666666666</v>
      </c>
      <c r="O36" s="9">
        <f t="shared" si="0"/>
        <v>106.45161290322581</v>
      </c>
      <c r="P36" s="9">
        <f>P35/30</f>
        <v>100</v>
      </c>
      <c r="Q36" s="9">
        <f t="shared" si="0"/>
        <v>109.6774193548387</v>
      </c>
      <c r="R36" s="9">
        <f>R35/31</f>
        <v>109.6774193548387</v>
      </c>
      <c r="S36" s="9">
        <f>S35/28</f>
        <v>114.28571428571429</v>
      </c>
      <c r="T36" s="9">
        <f>T35/31</f>
        <v>109.6774193548387</v>
      </c>
    </row>
    <row r="37" spans="2:20" s="7" customFormat="1" x14ac:dyDescent="0.2">
      <c r="C37" s="7" t="s">
        <v>116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2:20" s="7" customFormat="1" x14ac:dyDescent="0.2">
      <c r="C38" s="7" t="s">
        <v>147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2:20" s="7" customFormat="1" x14ac:dyDescent="0.2">
      <c r="C39" s="7" t="s">
        <v>116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2:20" x14ac:dyDescent="0.2">
      <c r="C40" t="s">
        <v>5</v>
      </c>
      <c r="F40" s="5" t="s">
        <v>81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0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0" x14ac:dyDescent="0.2">
      <c r="B42" s="3" t="s">
        <v>7</v>
      </c>
      <c r="C42" s="3" t="s">
        <v>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 x14ac:dyDescent="0.2">
      <c r="D43" t="s">
        <v>123</v>
      </c>
      <c r="F43" s="5">
        <f>$F$17+$F$18</f>
        <v>0.22750000000000001</v>
      </c>
      <c r="G43" s="5">
        <f>$G$17+$G$18</f>
        <v>0.22750000000000001</v>
      </c>
      <c r="H43" s="5">
        <f>$H$17+$H$18</f>
        <v>0.19750000000000001</v>
      </c>
      <c r="I43" s="5">
        <f>$I$17+$I$18</f>
        <v>0.1575</v>
      </c>
      <c r="J43" s="5">
        <f>$J$17+$J$18</f>
        <v>0.11749999999999999</v>
      </c>
      <c r="K43" s="5">
        <f>$K$17+$K$18</f>
        <v>0.11749999999999999</v>
      </c>
      <c r="L43" s="5">
        <f>$L$17+$L$18</f>
        <v>0.11749999999999999</v>
      </c>
      <c r="M43" s="5">
        <f>$M$17+$M$18</f>
        <v>0.11749999999999999</v>
      </c>
      <c r="N43" s="5">
        <f>$N$17+$N$18</f>
        <v>0.11749999999999999</v>
      </c>
      <c r="O43" s="5">
        <f>$O$17+$O$18</f>
        <v>0.1575</v>
      </c>
      <c r="P43" s="5">
        <f>$P$17+$P$18</f>
        <v>0.20250000000000001</v>
      </c>
      <c r="Q43" s="5">
        <f>$Q$17+$Q$18</f>
        <v>0.21250000000000002</v>
      </c>
      <c r="R43" s="5">
        <f>$R$17+$R$18</f>
        <v>0.23250000000000001</v>
      </c>
      <c r="S43" s="5">
        <f>$S$17+$S$18</f>
        <v>0.23250000000000001</v>
      </c>
      <c r="T43" s="5">
        <f>$T$17+$T$18</f>
        <v>0.20250000000000001</v>
      </c>
    </row>
    <row r="44" spans="2:20" x14ac:dyDescent="0.2">
      <c r="D44" t="s">
        <v>124</v>
      </c>
      <c r="F44" s="5">
        <f>$F$17+$F$18</f>
        <v>0.22750000000000001</v>
      </c>
      <c r="G44" s="5">
        <f>$G$17+$G$18</f>
        <v>0.22750000000000001</v>
      </c>
      <c r="H44" s="5">
        <f>$H$17+$H$18</f>
        <v>0.19750000000000001</v>
      </c>
      <c r="I44" s="5">
        <f>$I$17+$I$18</f>
        <v>0.1575</v>
      </c>
      <c r="J44" s="5">
        <f>$J$17+$J$18</f>
        <v>0.11749999999999999</v>
      </c>
      <c r="K44" s="5">
        <f>$K$17+$K$18</f>
        <v>0.11749999999999999</v>
      </c>
      <c r="L44" s="5">
        <f>$L$17+$L$18</f>
        <v>0.11749999999999999</v>
      </c>
      <c r="M44" s="5">
        <f>$M$17+$M$18</f>
        <v>0.11749999999999999</v>
      </c>
      <c r="N44" s="5">
        <f>$N$17+$N$18</f>
        <v>0.11749999999999999</v>
      </c>
      <c r="O44" s="5">
        <f>$O$17+$O$18</f>
        <v>0.1575</v>
      </c>
      <c r="P44" s="5">
        <f>$P$17+$P$18</f>
        <v>0.20250000000000001</v>
      </c>
      <c r="Q44" s="5">
        <f>$Q$17+$Q$18</f>
        <v>0.21250000000000002</v>
      </c>
      <c r="R44" s="5">
        <f>$R$17+$R$18</f>
        <v>0.23250000000000001</v>
      </c>
      <c r="S44" s="5">
        <f>$S$17+$S$18</f>
        <v>0.23250000000000001</v>
      </c>
      <c r="T44" s="5">
        <f>$T$17+$T$18</f>
        <v>0.20250000000000001</v>
      </c>
    </row>
    <row r="45" spans="2:20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 x14ac:dyDescent="0.2">
      <c r="C46" t="s">
        <v>146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</row>
    <row r="47" spans="2:20" x14ac:dyDescent="0.2">
      <c r="C47" t="s">
        <v>116</v>
      </c>
      <c r="F47" s="6">
        <v>37</v>
      </c>
      <c r="G47" s="6">
        <v>37</v>
      </c>
      <c r="H47" s="6">
        <v>37</v>
      </c>
      <c r="I47" s="6">
        <v>34</v>
      </c>
      <c r="J47" s="6">
        <v>34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</row>
    <row r="48" spans="2:20" x14ac:dyDescent="0.2">
      <c r="C48" t="s">
        <v>147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</row>
    <row r="49" spans="2:24" x14ac:dyDescent="0.2">
      <c r="C49" t="s">
        <v>116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2:24" x14ac:dyDescent="0.2">
      <c r="C50" t="s">
        <v>5</v>
      </c>
      <c r="F50" s="5" t="s">
        <v>82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2:24" x14ac:dyDescent="0.2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4" x14ac:dyDescent="0.2">
      <c r="B52" s="3" t="s">
        <v>9</v>
      </c>
      <c r="C52" s="3" t="s">
        <v>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4" x14ac:dyDescent="0.2">
      <c r="D53" t="s">
        <v>123</v>
      </c>
      <c r="F53" s="5">
        <f>$F$17+$F$18</f>
        <v>0.22750000000000001</v>
      </c>
      <c r="G53" s="5">
        <f>$G$17+$G$18</f>
        <v>0.22750000000000001</v>
      </c>
      <c r="H53" s="5">
        <f>$H$17+$H$18</f>
        <v>0.19750000000000001</v>
      </c>
      <c r="I53" s="5">
        <f>$I$17+$I$18</f>
        <v>0.1575</v>
      </c>
      <c r="J53" s="5">
        <f>$J$17+$J$18</f>
        <v>0.11749999999999999</v>
      </c>
      <c r="K53" s="5">
        <f>$K$17+$K$18</f>
        <v>0.11749999999999999</v>
      </c>
      <c r="L53" s="5">
        <f>$L$17+$L$18</f>
        <v>0.11749999999999999</v>
      </c>
      <c r="M53" s="5">
        <f>$M$17+$M$18</f>
        <v>0.11749999999999999</v>
      </c>
      <c r="N53" s="5">
        <f>$N$17+$N$18</f>
        <v>0.11749999999999999</v>
      </c>
      <c r="O53" s="5">
        <f>$O$17+$O$18</f>
        <v>0.1575</v>
      </c>
      <c r="P53" s="5">
        <f>$P$17+$P$18</f>
        <v>0.20250000000000001</v>
      </c>
      <c r="Q53" s="5">
        <f>$Q$17+$Q$18</f>
        <v>0.21250000000000002</v>
      </c>
      <c r="R53" s="5">
        <f>$R$17+$R$18</f>
        <v>0.23250000000000001</v>
      </c>
      <c r="S53" s="5">
        <f>$S$17+$S$18</f>
        <v>0.23250000000000001</v>
      </c>
      <c r="T53" s="5">
        <f>$T$17+$T$18</f>
        <v>0.20250000000000001</v>
      </c>
    </row>
    <row r="54" spans="2:24" x14ac:dyDescent="0.2">
      <c r="D54" t="s">
        <v>124</v>
      </c>
      <c r="F54" s="5">
        <f>$F$17+$F$18</f>
        <v>0.22750000000000001</v>
      </c>
      <c r="G54" s="5">
        <f>$G$17+$G$18</f>
        <v>0.22750000000000001</v>
      </c>
      <c r="H54" s="5">
        <f>$H$17+$H$18</f>
        <v>0.19750000000000001</v>
      </c>
      <c r="I54" s="5">
        <f>$I$17+$I$18</f>
        <v>0.1575</v>
      </c>
      <c r="J54" s="5">
        <f>$J$17+$J$18</f>
        <v>0.11749999999999999</v>
      </c>
      <c r="K54" s="5">
        <f>$K$17+$K$18</f>
        <v>0.11749999999999999</v>
      </c>
      <c r="L54" s="5">
        <f>$L$17+$L$18</f>
        <v>0.11749999999999999</v>
      </c>
      <c r="M54" s="5">
        <f>$M$17+$M$18</f>
        <v>0.11749999999999999</v>
      </c>
      <c r="N54" s="5">
        <f>$N$17+$N$18</f>
        <v>0.11749999999999999</v>
      </c>
      <c r="O54" s="5">
        <f>$O$17+$O$18</f>
        <v>0.1575</v>
      </c>
      <c r="P54" s="5">
        <f>$P$17+$P$18</f>
        <v>0.20250000000000001</v>
      </c>
      <c r="Q54" s="5">
        <f>$Q$17+$Q$18</f>
        <v>0.21250000000000002</v>
      </c>
      <c r="R54" s="5">
        <f>$R$17+$R$18</f>
        <v>0.23250000000000001</v>
      </c>
      <c r="S54" s="5">
        <f>$S$17+$S$18</f>
        <v>0.23250000000000001</v>
      </c>
      <c r="T54" s="5">
        <f>$T$17+$T$18</f>
        <v>0.20250000000000001</v>
      </c>
    </row>
    <row r="55" spans="2:24" x14ac:dyDescent="0.2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idden="1" x14ac:dyDescent="0.2">
      <c r="C56" t="s">
        <v>146</v>
      </c>
      <c r="F56" s="10">
        <v>38053</v>
      </c>
      <c r="G56" s="10">
        <v>30000</v>
      </c>
      <c r="H56" s="10">
        <v>0</v>
      </c>
      <c r="I56" s="10">
        <v>808</v>
      </c>
      <c r="J56" s="10">
        <v>191</v>
      </c>
      <c r="K56" s="10">
        <v>230</v>
      </c>
      <c r="L56" s="10">
        <v>3</v>
      </c>
      <c r="M56" s="10">
        <v>3</v>
      </c>
      <c r="N56" s="10">
        <v>160</v>
      </c>
      <c r="O56" s="10">
        <v>179</v>
      </c>
      <c r="P56" s="10">
        <v>920</v>
      </c>
      <c r="Q56" s="10">
        <v>1577</v>
      </c>
      <c r="R56" s="10">
        <v>2623</v>
      </c>
      <c r="S56" s="10">
        <v>2065</v>
      </c>
      <c r="T56" s="10">
        <v>2596</v>
      </c>
      <c r="U56" s="6"/>
      <c r="V56" s="6"/>
      <c r="W56" s="6"/>
      <c r="X56" s="6"/>
    </row>
    <row r="57" spans="2:24" s="7" customFormat="1" x14ac:dyDescent="0.2">
      <c r="C57" t="s">
        <v>146</v>
      </c>
      <c r="F57" s="10">
        <f>F56/31</f>
        <v>1227.516129032258</v>
      </c>
      <c r="G57" s="10">
        <f>G56/29</f>
        <v>1034.4827586206898</v>
      </c>
      <c r="H57" s="10">
        <f>H56/31</f>
        <v>0</v>
      </c>
      <c r="I57" s="10">
        <f>I56/30</f>
        <v>26.933333333333334</v>
      </c>
      <c r="J57" s="10">
        <f>J56/31</f>
        <v>6.161290322580645</v>
      </c>
      <c r="K57" s="10">
        <f>K56/30</f>
        <v>7.666666666666667</v>
      </c>
      <c r="L57" s="10">
        <f>L56/31</f>
        <v>9.6774193548387094E-2</v>
      </c>
      <c r="M57" s="10">
        <f>M56/31</f>
        <v>9.6774193548387094E-2</v>
      </c>
      <c r="N57" s="10">
        <f>N56/30</f>
        <v>5.333333333333333</v>
      </c>
      <c r="O57" s="10">
        <f>O56/31</f>
        <v>5.774193548387097</v>
      </c>
      <c r="P57" s="10">
        <f>P56/30</f>
        <v>30.666666666666668</v>
      </c>
      <c r="Q57" s="10">
        <f>Q56/31</f>
        <v>50.87096774193548</v>
      </c>
      <c r="R57" s="10">
        <f>R56/31</f>
        <v>84.612903225806448</v>
      </c>
      <c r="S57" s="10">
        <f>S56/28</f>
        <v>73.75</v>
      </c>
      <c r="T57" s="10">
        <f>T56/31</f>
        <v>83.741935483870961</v>
      </c>
      <c r="U57" s="6"/>
      <c r="V57" s="6"/>
      <c r="W57" s="6"/>
      <c r="X57" s="6"/>
    </row>
    <row r="58" spans="2:24" s="7" customFormat="1" x14ac:dyDescent="0.2">
      <c r="C58" s="7" t="s">
        <v>116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/>
      <c r="V58" s="6"/>
      <c r="W58" s="6"/>
      <c r="X58" s="6"/>
    </row>
    <row r="59" spans="2:24" hidden="1" x14ac:dyDescent="0.2">
      <c r="C59" t="s">
        <v>147</v>
      </c>
      <c r="F59" s="10">
        <v>39694</v>
      </c>
      <c r="G59" s="10">
        <v>34693</v>
      </c>
      <c r="H59" s="10">
        <v>27024</v>
      </c>
      <c r="I59" s="10">
        <v>16636</v>
      </c>
      <c r="J59" s="10">
        <v>8246</v>
      </c>
      <c r="K59" s="10">
        <v>4083</v>
      </c>
      <c r="L59" s="10">
        <v>3847</v>
      </c>
      <c r="M59" s="10">
        <v>3882</v>
      </c>
      <c r="N59" s="10">
        <v>4919</v>
      </c>
      <c r="O59" s="10">
        <v>8103</v>
      </c>
      <c r="P59" s="10">
        <v>8888</v>
      </c>
      <c r="Q59" s="10">
        <v>11978</v>
      </c>
      <c r="R59" s="10">
        <v>5419</v>
      </c>
      <c r="S59" s="10">
        <v>2363</v>
      </c>
      <c r="T59" s="10">
        <v>1033</v>
      </c>
      <c r="U59" s="6"/>
      <c r="V59" s="6"/>
      <c r="W59" s="6"/>
      <c r="X59" s="6"/>
    </row>
    <row r="60" spans="2:24" s="7" customFormat="1" x14ac:dyDescent="0.2">
      <c r="C60" t="s">
        <v>147</v>
      </c>
      <c r="F60" s="10">
        <f>F59/31</f>
        <v>1280.4516129032259</v>
      </c>
      <c r="G60" s="10">
        <v>1232</v>
      </c>
      <c r="H60" s="10">
        <f>H59/31</f>
        <v>871.74193548387098</v>
      </c>
      <c r="I60" s="10">
        <f>I59/30</f>
        <v>554.5333333333333</v>
      </c>
      <c r="J60" s="10">
        <f>J59/31</f>
        <v>266</v>
      </c>
      <c r="K60" s="10">
        <f>K59/30</f>
        <v>136.1</v>
      </c>
      <c r="L60" s="10">
        <f>L59/31</f>
        <v>124.09677419354838</v>
      </c>
      <c r="M60" s="10">
        <f>M59/31</f>
        <v>125.2258064516129</v>
      </c>
      <c r="N60" s="10">
        <f>N59/30</f>
        <v>163.96666666666667</v>
      </c>
      <c r="O60" s="10">
        <f>O59/31</f>
        <v>261.38709677419354</v>
      </c>
      <c r="P60" s="10">
        <f>P59/30</f>
        <v>296.26666666666665</v>
      </c>
      <c r="Q60" s="10">
        <f>Q59/31</f>
        <v>386.38709677419354</v>
      </c>
      <c r="R60" s="10">
        <f>R59/31</f>
        <v>174.80645161290323</v>
      </c>
      <c r="S60" s="10">
        <f>S59/28</f>
        <v>84.392857142857139</v>
      </c>
      <c r="T60" s="10">
        <f>T59/31</f>
        <v>33.322580645161288</v>
      </c>
      <c r="U60" s="6"/>
      <c r="V60" s="6"/>
      <c r="W60" s="6"/>
      <c r="X60" s="6"/>
    </row>
    <row r="61" spans="2:24" s="7" customFormat="1" x14ac:dyDescent="0.2">
      <c r="C61" s="7" t="s">
        <v>116</v>
      </c>
      <c r="F61" s="6">
        <v>2215</v>
      </c>
      <c r="G61" s="6">
        <v>2215</v>
      </c>
      <c r="H61" s="6">
        <v>2215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/>
      <c r="V61" s="6"/>
      <c r="W61" s="6"/>
      <c r="X61" s="6"/>
    </row>
    <row r="62" spans="2:24" x14ac:dyDescent="0.2">
      <c r="C62" t="s">
        <v>5</v>
      </c>
      <c r="F62" s="5" t="s">
        <v>84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4" x14ac:dyDescent="0.2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4" x14ac:dyDescent="0.2">
      <c r="B64" s="3" t="s">
        <v>9</v>
      </c>
      <c r="C64" s="3" t="s">
        <v>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">
      <c r="D65" t="s">
        <v>123</v>
      </c>
      <c r="F65" s="5">
        <f>$F$17+$F$18</f>
        <v>0.22750000000000001</v>
      </c>
      <c r="G65" s="5">
        <f>$G$17+$G$18</f>
        <v>0.22750000000000001</v>
      </c>
      <c r="H65" s="5">
        <f>$H$17+$H$18</f>
        <v>0.19750000000000001</v>
      </c>
      <c r="I65" s="5">
        <f>$I$17+$I$18</f>
        <v>0.1575</v>
      </c>
      <c r="J65" s="5">
        <f>$J$17+$J$18</f>
        <v>0.11749999999999999</v>
      </c>
      <c r="K65" s="5">
        <f>$K$17+$K$18</f>
        <v>0.11749999999999999</v>
      </c>
      <c r="L65" s="5">
        <f>$L$17+$L$18</f>
        <v>0.11749999999999999</v>
      </c>
      <c r="M65" s="5">
        <f>$M$17+$M$18</f>
        <v>0.11749999999999999</v>
      </c>
      <c r="N65" s="5">
        <f>$N$17+$N$18</f>
        <v>0.11749999999999999</v>
      </c>
      <c r="O65" s="5">
        <f>$O$17+$O$18</f>
        <v>0.1575</v>
      </c>
      <c r="P65" s="5">
        <f>$P$17+$P$18</f>
        <v>0.20250000000000001</v>
      </c>
      <c r="Q65" s="5">
        <f>$Q$17+$Q$18</f>
        <v>0.21250000000000002</v>
      </c>
      <c r="R65" s="5">
        <f>$R$17+$R$18</f>
        <v>0.23250000000000001</v>
      </c>
      <c r="S65" s="5">
        <f>$S$17+$S$18</f>
        <v>0.23250000000000001</v>
      </c>
      <c r="T65" s="5">
        <f>$T$17+$T$18</f>
        <v>0.20250000000000001</v>
      </c>
    </row>
    <row r="66" spans="2:20" x14ac:dyDescent="0.2">
      <c r="D66" t="s">
        <v>124</v>
      </c>
      <c r="F66" s="5">
        <f>$F$17+$F$18</f>
        <v>0.22750000000000001</v>
      </c>
      <c r="G66" s="5">
        <f>$G$17+$G$18</f>
        <v>0.22750000000000001</v>
      </c>
      <c r="H66" s="5">
        <f>$H$17+$H$18</f>
        <v>0.19750000000000001</v>
      </c>
      <c r="I66" s="5">
        <f>$I$17+$I$18</f>
        <v>0.1575</v>
      </c>
      <c r="J66" s="5">
        <f>$J$17+$J$18</f>
        <v>0.11749999999999999</v>
      </c>
      <c r="K66" s="5">
        <f>$K$17+$K$18</f>
        <v>0.11749999999999999</v>
      </c>
      <c r="L66" s="5">
        <f>$L$17+$L$18</f>
        <v>0.11749999999999999</v>
      </c>
      <c r="M66" s="5">
        <f>$M$17+$M$18</f>
        <v>0.11749999999999999</v>
      </c>
      <c r="N66" s="5">
        <f>$N$17+$N$18</f>
        <v>0.11749999999999999</v>
      </c>
      <c r="O66" s="5">
        <f>$O$17+$O$18</f>
        <v>0.1575</v>
      </c>
      <c r="P66" s="5">
        <f>$P$17+$P$18</f>
        <v>0.20250000000000001</v>
      </c>
      <c r="Q66" s="5">
        <f>$Q$17+$Q$18</f>
        <v>0.21250000000000002</v>
      </c>
      <c r="R66" s="5">
        <f>$R$17+$R$18</f>
        <v>0.23250000000000001</v>
      </c>
      <c r="S66" s="5">
        <f>$S$17+$S$18</f>
        <v>0.23250000000000001</v>
      </c>
      <c r="T66" s="5">
        <f>$T$17+$T$18</f>
        <v>0.20250000000000001</v>
      </c>
    </row>
    <row r="67" spans="2:20" x14ac:dyDescent="0.2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2">
      <c r="C68" t="s">
        <v>146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</row>
    <row r="69" spans="2:20" x14ac:dyDescent="0.2">
      <c r="C69" t="s">
        <v>116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</row>
    <row r="70" spans="2:20" x14ac:dyDescent="0.2">
      <c r="C70" t="s">
        <v>147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</row>
    <row r="71" spans="2:20" x14ac:dyDescent="0.2">
      <c r="C71" t="s">
        <v>116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</row>
    <row r="72" spans="2:20" x14ac:dyDescent="0.2">
      <c r="C72" t="s">
        <v>5</v>
      </c>
      <c r="F72" s="5" t="s">
        <v>83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2:20" x14ac:dyDescent="0.2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2">
      <c r="B74" s="3" t="s">
        <v>9</v>
      </c>
      <c r="C74" s="3" t="s">
        <v>12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2">
      <c r="D75" t="s">
        <v>123</v>
      </c>
      <c r="F75" s="5">
        <f>$F$17+$F$18</f>
        <v>0.22750000000000001</v>
      </c>
      <c r="G75" s="5">
        <f>$G$17+$G$18</f>
        <v>0.22750000000000001</v>
      </c>
      <c r="H75" s="5">
        <f>$H$17+$H$18</f>
        <v>0.19750000000000001</v>
      </c>
      <c r="I75" s="5">
        <f>$I$17+$I$18</f>
        <v>0.1575</v>
      </c>
      <c r="J75" s="5">
        <f>$J$17+$J$18</f>
        <v>0.11749999999999999</v>
      </c>
      <c r="K75" s="5">
        <f>$K$17+$K$18</f>
        <v>0.11749999999999999</v>
      </c>
      <c r="L75" s="5">
        <f>$L$17+$L$18</f>
        <v>0.11749999999999999</v>
      </c>
      <c r="M75" s="5">
        <f>$M$17+$M$18</f>
        <v>0.11749999999999999</v>
      </c>
      <c r="N75" s="5">
        <f>$N$17+$N$18</f>
        <v>0.11749999999999999</v>
      </c>
      <c r="O75" s="5">
        <f>$O$17+$O$18</f>
        <v>0.1575</v>
      </c>
      <c r="P75" s="5">
        <f>$P$17+$P$18</f>
        <v>0.20250000000000001</v>
      </c>
      <c r="Q75" s="5">
        <f>$Q$17+$Q$18</f>
        <v>0.21250000000000002</v>
      </c>
      <c r="R75" s="5">
        <f>$R$17+$R$18</f>
        <v>0.23250000000000001</v>
      </c>
      <c r="S75" s="5">
        <f>$S$17+$S$18</f>
        <v>0.23250000000000001</v>
      </c>
      <c r="T75" s="5">
        <f>$T$17+$T$18</f>
        <v>0.20250000000000001</v>
      </c>
    </row>
    <row r="76" spans="2:20" x14ac:dyDescent="0.2">
      <c r="D76" t="s">
        <v>124</v>
      </c>
      <c r="F76" s="5">
        <f>$F$17+$F$18</f>
        <v>0.22750000000000001</v>
      </c>
      <c r="G76" s="5">
        <f>$G$17+$G$18</f>
        <v>0.22750000000000001</v>
      </c>
      <c r="H76" s="5">
        <f>$H$17+$H$18</f>
        <v>0.19750000000000001</v>
      </c>
      <c r="I76" s="5">
        <f>$I$17+$I$18</f>
        <v>0.1575</v>
      </c>
      <c r="J76" s="5">
        <f>$J$17+$J$18</f>
        <v>0.11749999999999999</v>
      </c>
      <c r="K76" s="5">
        <f>$K$17+$K$18</f>
        <v>0.11749999999999999</v>
      </c>
      <c r="L76" s="5">
        <f>$L$17+$L$18</f>
        <v>0.11749999999999999</v>
      </c>
      <c r="M76" s="5">
        <f>$M$17+$M$18</f>
        <v>0.11749999999999999</v>
      </c>
      <c r="N76" s="5">
        <f>$N$17+$N$18</f>
        <v>0.11749999999999999</v>
      </c>
      <c r="O76" s="5">
        <f>$O$17+$O$18</f>
        <v>0.1575</v>
      </c>
      <c r="P76" s="5">
        <f>$P$17+$P$18</f>
        <v>0.20250000000000001</v>
      </c>
      <c r="Q76" s="5">
        <f>$Q$17+$Q$18</f>
        <v>0.21250000000000002</v>
      </c>
      <c r="R76" s="5">
        <f>$R$17+$R$18</f>
        <v>0.23250000000000001</v>
      </c>
      <c r="S76" s="5">
        <f>$S$17+$S$18</f>
        <v>0.23250000000000001</v>
      </c>
      <c r="T76" s="5">
        <f>$T$17+$T$18</f>
        <v>0.20250000000000001</v>
      </c>
    </row>
    <row r="77" spans="2:20" x14ac:dyDescent="0.2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hidden="1" x14ac:dyDescent="0.2">
      <c r="C78" t="s">
        <v>146</v>
      </c>
      <c r="F78" s="8">
        <v>5457</v>
      </c>
      <c r="G78" s="8">
        <v>7157</v>
      </c>
      <c r="H78" s="8">
        <v>4590</v>
      </c>
      <c r="I78" s="8">
        <v>4590</v>
      </c>
      <c r="J78" s="8">
        <v>4080</v>
      </c>
      <c r="K78" s="8">
        <v>2346</v>
      </c>
      <c r="L78" s="8">
        <v>1326</v>
      </c>
      <c r="M78" s="8">
        <v>255</v>
      </c>
      <c r="N78" s="8">
        <v>102</v>
      </c>
      <c r="O78" s="8">
        <v>2040</v>
      </c>
      <c r="P78" s="8">
        <v>3570</v>
      </c>
      <c r="Q78" s="8">
        <v>5423</v>
      </c>
      <c r="R78" s="5"/>
      <c r="S78" s="5"/>
      <c r="T78" s="5"/>
    </row>
    <row r="79" spans="2:20" s="7" customFormat="1" x14ac:dyDescent="0.2">
      <c r="C79" t="s">
        <v>146</v>
      </c>
      <c r="F79" s="9">
        <f>F78/31</f>
        <v>176.03225806451613</v>
      </c>
      <c r="G79" s="9">
        <f>G78/29</f>
        <v>246.79310344827587</v>
      </c>
      <c r="H79" s="9">
        <f>H78/31</f>
        <v>148.06451612903226</v>
      </c>
      <c r="I79" s="9">
        <f>I78/30</f>
        <v>153</v>
      </c>
      <c r="J79" s="9">
        <f>J78/31</f>
        <v>131.61290322580646</v>
      </c>
      <c r="K79" s="9">
        <f>K78/30</f>
        <v>78.2</v>
      </c>
      <c r="L79" s="9">
        <f>L78/31</f>
        <v>42.774193548387096</v>
      </c>
      <c r="M79" s="9">
        <f>M78/31</f>
        <v>8.2258064516129039</v>
      </c>
      <c r="N79" s="9">
        <f>N78/30</f>
        <v>3.4</v>
      </c>
      <c r="O79" s="9">
        <f>O78/31</f>
        <v>65.806451612903231</v>
      </c>
      <c r="P79" s="9">
        <f>P78/30</f>
        <v>119</v>
      </c>
      <c r="Q79" s="9">
        <f>Q78/31</f>
        <v>174.93548387096774</v>
      </c>
      <c r="R79" s="9">
        <f>R78/31</f>
        <v>0</v>
      </c>
      <c r="S79" s="9">
        <f>S78/28</f>
        <v>0</v>
      </c>
      <c r="T79" s="9">
        <f>T78/31</f>
        <v>0</v>
      </c>
    </row>
    <row r="80" spans="2:20" s="7" customFormat="1" x14ac:dyDescent="0.2">
      <c r="C80" s="7" t="s">
        <v>116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2:20" x14ac:dyDescent="0.2">
      <c r="C81" t="s">
        <v>147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</row>
    <row r="82" spans="2:20" s="7" customFormat="1" x14ac:dyDescent="0.2">
      <c r="C82" s="7" t="s">
        <v>116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2:20" x14ac:dyDescent="0.2">
      <c r="C83" t="s">
        <v>5</v>
      </c>
      <c r="F83" s="5" t="s">
        <v>85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2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2">
      <c r="B85" s="3" t="s">
        <v>9</v>
      </c>
      <c r="C85" s="3" t="s">
        <v>13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x14ac:dyDescent="0.2">
      <c r="D86" t="s">
        <v>123</v>
      </c>
      <c r="F86" s="5">
        <f>$F$17+$F$18</f>
        <v>0.22750000000000001</v>
      </c>
      <c r="G86" s="5">
        <f>$G$17+$G$18</f>
        <v>0.22750000000000001</v>
      </c>
      <c r="H86" s="5">
        <f>$H$17+$H$18</f>
        <v>0.19750000000000001</v>
      </c>
      <c r="I86" s="5">
        <f>$I$17+$I$18</f>
        <v>0.1575</v>
      </c>
      <c r="J86" s="5">
        <f>$J$17+$J$18</f>
        <v>0.11749999999999999</v>
      </c>
      <c r="K86" s="5">
        <f>$K$17+$K$18</f>
        <v>0.11749999999999999</v>
      </c>
      <c r="L86" s="5">
        <f>$L$17+$L$18</f>
        <v>0.11749999999999999</v>
      </c>
      <c r="M86" s="5">
        <f>$M$17+$M$18</f>
        <v>0.11749999999999999</v>
      </c>
      <c r="N86" s="5">
        <f>$N$17+$N$18</f>
        <v>0.11749999999999999</v>
      </c>
      <c r="O86" s="5">
        <f>$O$17+$O$18</f>
        <v>0.1575</v>
      </c>
      <c r="P86" s="5">
        <f>$P$17+$P$18</f>
        <v>0.20250000000000001</v>
      </c>
      <c r="Q86" s="5">
        <f>$Q$17+$Q$18</f>
        <v>0.21250000000000002</v>
      </c>
      <c r="R86" s="5">
        <f>$R$17+$R$18</f>
        <v>0.23250000000000001</v>
      </c>
      <c r="S86" s="5">
        <f>$S$17+$S$18</f>
        <v>0.23250000000000001</v>
      </c>
      <c r="T86" s="5">
        <f>$T$17+$T$18</f>
        <v>0.20250000000000001</v>
      </c>
    </row>
    <row r="87" spans="2:20" x14ac:dyDescent="0.2">
      <c r="D87" t="s">
        <v>124</v>
      </c>
      <c r="F87" s="5">
        <f>$F$17+$F$18</f>
        <v>0.22750000000000001</v>
      </c>
      <c r="G87" s="5">
        <f>$G$17+$G$18</f>
        <v>0.22750000000000001</v>
      </c>
      <c r="H87" s="5">
        <f>$H$17+$H$18</f>
        <v>0.19750000000000001</v>
      </c>
      <c r="I87" s="5">
        <f>$I$17+$I$18</f>
        <v>0.1575</v>
      </c>
      <c r="J87" s="5">
        <f>$J$17+$J$18</f>
        <v>0.11749999999999999</v>
      </c>
      <c r="K87" s="5">
        <f>$K$17+$K$18</f>
        <v>0.11749999999999999</v>
      </c>
      <c r="L87" s="5">
        <f>$L$17+$L$18</f>
        <v>0.11749999999999999</v>
      </c>
      <c r="M87" s="5">
        <f>$M$17+$M$18</f>
        <v>0.11749999999999999</v>
      </c>
      <c r="N87" s="5">
        <f>$N$17+$N$18</f>
        <v>0.11749999999999999</v>
      </c>
      <c r="O87" s="5">
        <f>$O$17+$O$18</f>
        <v>0.1575</v>
      </c>
      <c r="P87" s="5">
        <f>$P$17+$P$18</f>
        <v>0.20250000000000001</v>
      </c>
      <c r="Q87" s="5">
        <f>$Q$17+$Q$18</f>
        <v>0.21250000000000002</v>
      </c>
      <c r="R87" s="5">
        <f>$R$17+$R$18</f>
        <v>0.23250000000000001</v>
      </c>
      <c r="S87" s="5">
        <f>$S$17+$S$18</f>
        <v>0.23250000000000001</v>
      </c>
      <c r="T87" s="5">
        <f>$T$17+$T$18</f>
        <v>0.20250000000000001</v>
      </c>
    </row>
    <row r="88" spans="2:20" x14ac:dyDescent="0.2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x14ac:dyDescent="0.2">
      <c r="C89" t="s">
        <v>146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</row>
    <row r="90" spans="2:20" x14ac:dyDescent="0.2">
      <c r="C90" t="s">
        <v>116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</row>
    <row r="91" spans="2:20" x14ac:dyDescent="0.2">
      <c r="C91" t="s">
        <v>147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</row>
    <row r="92" spans="2:20" x14ac:dyDescent="0.2">
      <c r="C92" t="s">
        <v>116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</row>
    <row r="93" spans="2:20" x14ac:dyDescent="0.2">
      <c r="C93" t="s">
        <v>5</v>
      </c>
      <c r="F93" s="5" t="s">
        <v>86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x14ac:dyDescent="0.2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x14ac:dyDescent="0.2">
      <c r="B95" s="3" t="s">
        <v>9</v>
      </c>
      <c r="C95" s="3" t="s">
        <v>14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x14ac:dyDescent="0.2">
      <c r="D96" t="s">
        <v>123</v>
      </c>
      <c r="F96" s="5">
        <f>$F$17+$F$18</f>
        <v>0.22750000000000001</v>
      </c>
      <c r="G96" s="5">
        <f>$G$17+$G$18</f>
        <v>0.22750000000000001</v>
      </c>
      <c r="H96" s="5">
        <f>$H$17+$H$18</f>
        <v>0.19750000000000001</v>
      </c>
      <c r="I96" s="5">
        <f>$I$17+$I$18</f>
        <v>0.1575</v>
      </c>
      <c r="J96" s="5">
        <f>$J$17+$J$18</f>
        <v>0.11749999999999999</v>
      </c>
      <c r="K96" s="5">
        <f>$K$17+$K$18</f>
        <v>0.11749999999999999</v>
      </c>
      <c r="L96" s="5">
        <f>$L$17+$L$18</f>
        <v>0.11749999999999999</v>
      </c>
      <c r="M96" s="5">
        <f>$M$17+$M$18</f>
        <v>0.11749999999999999</v>
      </c>
      <c r="N96" s="5">
        <f>$N$17+$N$18</f>
        <v>0.11749999999999999</v>
      </c>
      <c r="O96" s="5">
        <f>$O$17+$O$18</f>
        <v>0.1575</v>
      </c>
      <c r="P96" s="5">
        <f>$P$17+$P$18</f>
        <v>0.20250000000000001</v>
      </c>
      <c r="Q96" s="5">
        <f>$Q$17+$Q$18</f>
        <v>0.21250000000000002</v>
      </c>
      <c r="R96" s="5">
        <f>$R$17+$R$18</f>
        <v>0.23250000000000001</v>
      </c>
      <c r="S96" s="5">
        <f>$S$17+$S$18</f>
        <v>0.23250000000000001</v>
      </c>
      <c r="T96" s="5">
        <f>$T$17+$T$18</f>
        <v>0.20250000000000001</v>
      </c>
    </row>
    <row r="97" spans="2:52" x14ac:dyDescent="0.2">
      <c r="D97" t="s">
        <v>124</v>
      </c>
      <c r="F97" s="5">
        <f>$F$17+$F$18</f>
        <v>0.22750000000000001</v>
      </c>
      <c r="G97" s="5">
        <f>$G$17+$G$18</f>
        <v>0.22750000000000001</v>
      </c>
      <c r="H97" s="5">
        <f>$H$17+$H$18</f>
        <v>0.19750000000000001</v>
      </c>
      <c r="I97" s="5">
        <f>$I$17+$I$18</f>
        <v>0.1575</v>
      </c>
      <c r="J97" s="5">
        <f>$J$17+$J$18</f>
        <v>0.11749999999999999</v>
      </c>
      <c r="K97" s="5">
        <f>$K$17+$K$18</f>
        <v>0.11749999999999999</v>
      </c>
      <c r="L97" s="5">
        <f>$L$17+$L$18</f>
        <v>0.11749999999999999</v>
      </c>
      <c r="M97" s="5">
        <f>$M$17+$M$18</f>
        <v>0.11749999999999999</v>
      </c>
      <c r="N97" s="5">
        <f>$N$17+$N$18</f>
        <v>0.11749999999999999</v>
      </c>
      <c r="O97" s="5">
        <f>$O$17+$O$18</f>
        <v>0.1575</v>
      </c>
      <c r="P97" s="5">
        <f>$P$17+$P$18</f>
        <v>0.20250000000000001</v>
      </c>
      <c r="Q97" s="5">
        <f>$Q$17+$Q$18</f>
        <v>0.21250000000000002</v>
      </c>
      <c r="R97" s="5">
        <f>$R$17+$R$18</f>
        <v>0.23250000000000001</v>
      </c>
      <c r="S97" s="5">
        <f>$S$17+$S$18</f>
        <v>0.23250000000000001</v>
      </c>
      <c r="T97" s="5">
        <f>$T$17+$T$18</f>
        <v>0.20250000000000001</v>
      </c>
    </row>
    <row r="98" spans="2:52" x14ac:dyDescent="0.2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2:52" hidden="1" x14ac:dyDescent="0.2">
      <c r="C99" t="s">
        <v>146</v>
      </c>
      <c r="F99" s="10">
        <v>44024</v>
      </c>
      <c r="G99" s="10">
        <v>42058</v>
      </c>
      <c r="H99" s="10">
        <v>41816</v>
      </c>
      <c r="I99" s="10">
        <v>41816</v>
      </c>
      <c r="J99" s="10">
        <v>23295</v>
      </c>
      <c r="K99" s="10">
        <v>21586</v>
      </c>
      <c r="L99" s="10">
        <v>20344</v>
      </c>
      <c r="M99" s="10">
        <v>20190</v>
      </c>
      <c r="N99" s="10">
        <v>20805</v>
      </c>
      <c r="O99" s="10">
        <v>19343</v>
      </c>
      <c r="P99" s="10">
        <v>1800</v>
      </c>
      <c r="Q99" s="10">
        <v>2000</v>
      </c>
      <c r="R99" s="10">
        <v>2500</v>
      </c>
      <c r="S99" s="10">
        <v>2800</v>
      </c>
      <c r="T99" s="10">
        <v>2300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2:52" s="7" customFormat="1" x14ac:dyDescent="0.2">
      <c r="C100" t="s">
        <v>146</v>
      </c>
      <c r="F100" s="10">
        <f>F99/31</f>
        <v>1420.1290322580646</v>
      </c>
      <c r="G100" s="10">
        <f>G99/29</f>
        <v>1450.2758620689656</v>
      </c>
      <c r="H100" s="10">
        <f>H99/31</f>
        <v>1348.9032258064517</v>
      </c>
      <c r="I100" s="10">
        <f>I99/30</f>
        <v>1393.8666666666666</v>
      </c>
      <c r="J100" s="10">
        <f>J99/31</f>
        <v>751.45161290322585</v>
      </c>
      <c r="K100" s="10">
        <f>K99/30</f>
        <v>719.5333333333333</v>
      </c>
      <c r="L100" s="10">
        <f>L99/31</f>
        <v>656.25806451612902</v>
      </c>
      <c r="M100" s="10">
        <f>M99/31</f>
        <v>651.29032258064512</v>
      </c>
      <c r="N100" s="10">
        <f>N99/30</f>
        <v>693.5</v>
      </c>
      <c r="O100" s="10">
        <f>O99/31</f>
        <v>623.9677419354839</v>
      </c>
      <c r="P100" s="10">
        <f>P99/30</f>
        <v>60</v>
      </c>
      <c r="Q100" s="10">
        <f>Q99/31</f>
        <v>64.516129032258064</v>
      </c>
      <c r="R100" s="10">
        <f>R99/31</f>
        <v>80.645161290322577</v>
      </c>
      <c r="S100" s="10">
        <f>S99/28</f>
        <v>100</v>
      </c>
      <c r="T100" s="10">
        <f>T99/31</f>
        <v>74.193548387096769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2:52" s="7" customFormat="1" x14ac:dyDescent="0.2">
      <c r="C101" s="7" t="s">
        <v>116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2:52" x14ac:dyDescent="0.2">
      <c r="C102" t="s">
        <v>147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2:52" s="7" customFormat="1" x14ac:dyDescent="0.2">
      <c r="C103" s="7" t="s">
        <v>116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2:52" x14ac:dyDescent="0.2">
      <c r="C104" t="s">
        <v>5</v>
      </c>
      <c r="F104" s="5" t="s">
        <v>87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52" x14ac:dyDescent="0.2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52" x14ac:dyDescent="0.2">
      <c r="B106" s="3" t="s">
        <v>15</v>
      </c>
      <c r="C106" s="3" t="s">
        <v>16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52" x14ac:dyDescent="0.2">
      <c r="D107" t="s">
        <v>123</v>
      </c>
      <c r="F107" s="5">
        <f>$F$17+$F$18</f>
        <v>0.22750000000000001</v>
      </c>
      <c r="G107" s="5">
        <f>$G$17+$G$18</f>
        <v>0.22750000000000001</v>
      </c>
      <c r="H107" s="5">
        <f>$H$17+$H$18</f>
        <v>0.19750000000000001</v>
      </c>
      <c r="I107" s="5">
        <f>$I$17+$I$18</f>
        <v>0.1575</v>
      </c>
      <c r="J107" s="5">
        <f>$J$17+$J$18</f>
        <v>0.11749999999999999</v>
      </c>
      <c r="K107" s="5">
        <f>$K$17+$K$18</f>
        <v>0.11749999999999999</v>
      </c>
      <c r="L107" s="5">
        <f>$L$17+$L$18</f>
        <v>0.11749999999999999</v>
      </c>
      <c r="M107" s="5">
        <f>$M$17+$M$18</f>
        <v>0.11749999999999999</v>
      </c>
      <c r="N107" s="5">
        <f>$N$17+$N$18</f>
        <v>0.11749999999999999</v>
      </c>
      <c r="O107" s="5">
        <f>$O$17+$O$18</f>
        <v>0.1575</v>
      </c>
      <c r="P107" s="5">
        <f>$P$17+$P$18</f>
        <v>0.20250000000000001</v>
      </c>
      <c r="Q107" s="5">
        <f>$Q$17+$Q$18</f>
        <v>0.21250000000000002</v>
      </c>
      <c r="R107" s="5">
        <f>$R$17+$R$18</f>
        <v>0.23250000000000001</v>
      </c>
      <c r="S107" s="5">
        <f>$S$17+$S$18</f>
        <v>0.23250000000000001</v>
      </c>
      <c r="T107" s="5">
        <f>$T$17+$T$18</f>
        <v>0.20250000000000001</v>
      </c>
    </row>
    <row r="108" spans="2:52" x14ac:dyDescent="0.2">
      <c r="D108" t="s">
        <v>124</v>
      </c>
      <c r="F108" s="5">
        <f>$F$17+$F$18</f>
        <v>0.22750000000000001</v>
      </c>
      <c r="G108" s="5">
        <f>$G$17+$G$18</f>
        <v>0.22750000000000001</v>
      </c>
      <c r="H108" s="5">
        <f>$H$17+$H$18</f>
        <v>0.19750000000000001</v>
      </c>
      <c r="I108" s="5">
        <f>$I$17+$I$18</f>
        <v>0.1575</v>
      </c>
      <c r="J108" s="5">
        <f>$J$17+$J$18</f>
        <v>0.11749999999999999</v>
      </c>
      <c r="K108" s="5">
        <f>$K$17+$K$18</f>
        <v>0.11749999999999999</v>
      </c>
      <c r="L108" s="5">
        <f>$L$17+$L$18</f>
        <v>0.11749999999999999</v>
      </c>
      <c r="M108" s="5">
        <f>$M$17+$M$18</f>
        <v>0.11749999999999999</v>
      </c>
      <c r="N108" s="5">
        <f>$N$17+$N$18</f>
        <v>0.11749999999999999</v>
      </c>
      <c r="O108" s="5">
        <f>$O$17+$O$18</f>
        <v>0.1575</v>
      </c>
      <c r="P108" s="5">
        <f>$P$17+$P$18</f>
        <v>0.20250000000000001</v>
      </c>
      <c r="Q108" s="5">
        <f>$Q$17+$Q$18</f>
        <v>0.21250000000000002</v>
      </c>
      <c r="R108" s="5">
        <f>$R$17+$R$18</f>
        <v>0.23250000000000001</v>
      </c>
      <c r="S108" s="5">
        <f>$S$17+$S$18</f>
        <v>0.23250000000000001</v>
      </c>
      <c r="T108" s="5">
        <f>$T$17+$T$18</f>
        <v>0.20250000000000001</v>
      </c>
    </row>
    <row r="109" spans="2:52" x14ac:dyDescent="0.2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52" x14ac:dyDescent="0.2">
      <c r="C110" t="s">
        <v>146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</row>
    <row r="111" spans="2:52" x14ac:dyDescent="0.2">
      <c r="C111" t="s">
        <v>116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</row>
    <row r="112" spans="2:52" x14ac:dyDescent="0.2">
      <c r="C112" t="s">
        <v>147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</row>
    <row r="113" spans="2:20" x14ac:dyDescent="0.2">
      <c r="C113" t="s">
        <v>116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2:20" x14ac:dyDescent="0.2">
      <c r="C114" t="s">
        <v>5</v>
      </c>
      <c r="F114" s="5" t="s">
        <v>88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x14ac:dyDescent="0.2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x14ac:dyDescent="0.2">
      <c r="B116" s="3" t="s">
        <v>15</v>
      </c>
      <c r="C116" s="3" t="s">
        <v>17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2">
      <c r="D117" t="s">
        <v>123</v>
      </c>
      <c r="F117" s="5">
        <f>$F$17+$F$18</f>
        <v>0.22750000000000001</v>
      </c>
      <c r="G117" s="5">
        <f>$G$17+$G$18</f>
        <v>0.22750000000000001</v>
      </c>
      <c r="H117" s="5">
        <f>$H$17+$H$18</f>
        <v>0.19750000000000001</v>
      </c>
      <c r="I117" s="5">
        <f>$I$17+$I$18</f>
        <v>0.1575</v>
      </c>
      <c r="J117" s="5">
        <f>$J$17+$J$18</f>
        <v>0.11749999999999999</v>
      </c>
      <c r="K117" s="5">
        <f>$K$17+$K$18</f>
        <v>0.11749999999999999</v>
      </c>
      <c r="L117" s="5">
        <f>$L$17+$L$18</f>
        <v>0.11749999999999999</v>
      </c>
      <c r="M117" s="5">
        <f>$M$17+$M$18</f>
        <v>0.11749999999999999</v>
      </c>
      <c r="N117" s="5">
        <f>$N$17+$N$18</f>
        <v>0.11749999999999999</v>
      </c>
      <c r="O117" s="5">
        <f>$O$17+$O$18</f>
        <v>0.1575</v>
      </c>
      <c r="P117" s="5">
        <f>$P$17+$P$18</f>
        <v>0.20250000000000001</v>
      </c>
      <c r="Q117" s="5">
        <f>$Q$17+$Q$18</f>
        <v>0.21250000000000002</v>
      </c>
      <c r="R117" s="5">
        <f>$R$17+$R$18</f>
        <v>0.23250000000000001</v>
      </c>
      <c r="S117" s="5">
        <f>$S$17+$S$18</f>
        <v>0.23250000000000001</v>
      </c>
      <c r="T117" s="5">
        <f>$T$17+$T$18</f>
        <v>0.20250000000000001</v>
      </c>
    </row>
    <row r="118" spans="2:20" x14ac:dyDescent="0.2">
      <c r="D118" t="s">
        <v>124</v>
      </c>
      <c r="F118" s="5">
        <f>$F$17+$F$18</f>
        <v>0.22750000000000001</v>
      </c>
      <c r="G118" s="5">
        <f>$G$17+$G$18</f>
        <v>0.22750000000000001</v>
      </c>
      <c r="H118" s="5">
        <f>$H$17+$H$18</f>
        <v>0.19750000000000001</v>
      </c>
      <c r="I118" s="5">
        <f>$I$17+$I$18</f>
        <v>0.1575</v>
      </c>
      <c r="J118" s="5">
        <f>$J$17+$J$18</f>
        <v>0.11749999999999999</v>
      </c>
      <c r="K118" s="5">
        <f>$K$17+$K$18</f>
        <v>0.11749999999999999</v>
      </c>
      <c r="L118" s="5">
        <f>$L$17+$L$18</f>
        <v>0.11749999999999999</v>
      </c>
      <c r="M118" s="5">
        <f>$M$17+$M$18</f>
        <v>0.11749999999999999</v>
      </c>
      <c r="N118" s="5">
        <f>$N$17+$N$18</f>
        <v>0.11749999999999999</v>
      </c>
      <c r="O118" s="5">
        <f>$O$17+$O$18</f>
        <v>0.1575</v>
      </c>
      <c r="P118" s="5">
        <f>$P$17+$P$18</f>
        <v>0.20250000000000001</v>
      </c>
      <c r="Q118" s="5">
        <f>$Q$17+$Q$18</f>
        <v>0.21250000000000002</v>
      </c>
      <c r="R118" s="5">
        <f>$R$17+$R$18</f>
        <v>0.23250000000000001</v>
      </c>
      <c r="S118" s="5">
        <f>$S$17+$S$18</f>
        <v>0.23250000000000001</v>
      </c>
      <c r="T118" s="5">
        <f>$T$17+$T$18</f>
        <v>0.20250000000000001</v>
      </c>
    </row>
    <row r="119" spans="2:20" x14ac:dyDescent="0.2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x14ac:dyDescent="0.2">
      <c r="C120" t="s">
        <v>146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2:20" x14ac:dyDescent="0.2">
      <c r="C121" t="s">
        <v>116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</row>
    <row r="122" spans="2:20" x14ac:dyDescent="0.2">
      <c r="C122" t="s">
        <v>147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</row>
    <row r="123" spans="2:20" x14ac:dyDescent="0.2">
      <c r="C123" t="s">
        <v>116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</row>
    <row r="124" spans="2:20" x14ac:dyDescent="0.2">
      <c r="C124" t="s">
        <v>5</v>
      </c>
      <c r="F124" s="5" t="s">
        <v>89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x14ac:dyDescent="0.2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x14ac:dyDescent="0.2">
      <c r="B126" s="3" t="s">
        <v>15</v>
      </c>
      <c r="C126" s="3" t="s">
        <v>18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x14ac:dyDescent="0.2">
      <c r="D127" t="s">
        <v>123</v>
      </c>
      <c r="F127" s="5">
        <f>$F$17+$F$18</f>
        <v>0.22750000000000001</v>
      </c>
      <c r="G127" s="5">
        <f>$G$17+$G$18</f>
        <v>0.22750000000000001</v>
      </c>
      <c r="H127" s="5">
        <f>$H$17+$H$18</f>
        <v>0.19750000000000001</v>
      </c>
      <c r="I127" s="5">
        <f>$I$17+$I$18</f>
        <v>0.1575</v>
      </c>
      <c r="J127" s="5">
        <f>$J$17+$J$18</f>
        <v>0.11749999999999999</v>
      </c>
      <c r="K127" s="5">
        <f>$K$17+$K$18</f>
        <v>0.11749999999999999</v>
      </c>
      <c r="L127" s="5">
        <f>$L$17+$L$18</f>
        <v>0.11749999999999999</v>
      </c>
      <c r="M127" s="5">
        <f>$M$17+$M$18</f>
        <v>0.11749999999999999</v>
      </c>
      <c r="N127" s="5">
        <f>$N$17+$N$18</f>
        <v>0.11749999999999999</v>
      </c>
      <c r="O127" s="5">
        <f>$O$17+$O$18</f>
        <v>0.1575</v>
      </c>
      <c r="P127" s="5">
        <f>$P$17+$P$18</f>
        <v>0.20250000000000001</v>
      </c>
      <c r="Q127" s="5">
        <f>$Q$17+$Q$18</f>
        <v>0.21250000000000002</v>
      </c>
      <c r="R127" s="5">
        <f>$R$17+$R$18</f>
        <v>0.23250000000000001</v>
      </c>
      <c r="S127" s="5">
        <f>$S$17+$S$18</f>
        <v>0.23250000000000001</v>
      </c>
      <c r="T127" s="5">
        <f>$T$17+$T$18</f>
        <v>0.20250000000000001</v>
      </c>
    </row>
    <row r="128" spans="2:20" x14ac:dyDescent="0.2">
      <c r="D128" t="s">
        <v>124</v>
      </c>
      <c r="F128" s="5">
        <f>$F$17+$F$18</f>
        <v>0.22750000000000001</v>
      </c>
      <c r="G128" s="5">
        <f>$G$17+$G$18</f>
        <v>0.22750000000000001</v>
      </c>
      <c r="H128" s="5">
        <f>$H$17+$H$18</f>
        <v>0.19750000000000001</v>
      </c>
      <c r="I128" s="5">
        <f>$I$17+$I$18</f>
        <v>0.1575</v>
      </c>
      <c r="J128" s="5">
        <f>$J$17+$J$18</f>
        <v>0.11749999999999999</v>
      </c>
      <c r="K128" s="5">
        <f>$K$17+$K$18</f>
        <v>0.11749999999999999</v>
      </c>
      <c r="L128" s="5">
        <f>$L$17+$L$18</f>
        <v>0.11749999999999999</v>
      </c>
      <c r="M128" s="5">
        <f>$M$17+$M$18</f>
        <v>0.11749999999999999</v>
      </c>
      <c r="N128" s="5">
        <f>$N$17+$N$18</f>
        <v>0.11749999999999999</v>
      </c>
      <c r="O128" s="5">
        <f>$O$17+$O$18</f>
        <v>0.1575</v>
      </c>
      <c r="P128" s="5">
        <f>$P$17+$P$18</f>
        <v>0.20250000000000001</v>
      </c>
      <c r="Q128" s="5">
        <f>$Q$17+$Q$18</f>
        <v>0.21250000000000002</v>
      </c>
      <c r="R128" s="5">
        <f>$R$17+$R$18</f>
        <v>0.23250000000000001</v>
      </c>
      <c r="S128" s="5">
        <f>$S$17+$S$18</f>
        <v>0.23250000000000001</v>
      </c>
      <c r="T128" s="5">
        <f>$T$17+$T$18</f>
        <v>0.20250000000000001</v>
      </c>
    </row>
    <row r="129" spans="2:20" x14ac:dyDescent="0.2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x14ac:dyDescent="0.2">
      <c r="C130" t="s">
        <v>146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</row>
    <row r="131" spans="2:20" x14ac:dyDescent="0.2">
      <c r="C131" t="s">
        <v>116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</row>
    <row r="132" spans="2:20" x14ac:dyDescent="0.2">
      <c r="C132" t="s">
        <v>147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</row>
    <row r="133" spans="2:20" x14ac:dyDescent="0.2">
      <c r="C133" t="s">
        <v>116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2:20" x14ac:dyDescent="0.2">
      <c r="C134" t="s">
        <v>5</v>
      </c>
      <c r="F134" s="5" t="s">
        <v>90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x14ac:dyDescent="0.2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x14ac:dyDescent="0.2">
      <c r="B136" s="3" t="s">
        <v>15</v>
      </c>
      <c r="C136" s="3" t="s">
        <v>19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x14ac:dyDescent="0.2">
      <c r="D137" t="s">
        <v>123</v>
      </c>
      <c r="F137" s="5">
        <f>$F$17+$F$18</f>
        <v>0.22750000000000001</v>
      </c>
      <c r="G137" s="5">
        <f>$G$17+$G$18</f>
        <v>0.22750000000000001</v>
      </c>
      <c r="H137" s="5">
        <f>$H$17+$H$18</f>
        <v>0.19750000000000001</v>
      </c>
      <c r="I137" s="5">
        <f>$I$17+$I$18</f>
        <v>0.1575</v>
      </c>
      <c r="J137" s="5">
        <f>$J$17+$J$18</f>
        <v>0.11749999999999999</v>
      </c>
      <c r="K137" s="5">
        <f>$K$17+$K$18</f>
        <v>0.11749999999999999</v>
      </c>
      <c r="L137" s="5">
        <f>$L$17+$L$18</f>
        <v>0.11749999999999999</v>
      </c>
      <c r="M137" s="5">
        <f>$M$17+$M$18</f>
        <v>0.11749999999999999</v>
      </c>
      <c r="N137" s="5">
        <f>$N$17+$N$18</f>
        <v>0.11749999999999999</v>
      </c>
      <c r="O137" s="5">
        <f>$O$17+$O$18</f>
        <v>0.1575</v>
      </c>
      <c r="P137" s="5">
        <f>$P$17+$P$18</f>
        <v>0.20250000000000001</v>
      </c>
      <c r="Q137" s="5">
        <f>$Q$17+$Q$18</f>
        <v>0.21250000000000002</v>
      </c>
      <c r="R137" s="5">
        <f>$R$17+$R$18</f>
        <v>0.23250000000000001</v>
      </c>
      <c r="S137" s="5">
        <f>$S$17+$S$18</f>
        <v>0.23250000000000001</v>
      </c>
      <c r="T137" s="5">
        <f>$T$17+$T$18</f>
        <v>0.20250000000000001</v>
      </c>
    </row>
    <row r="138" spans="2:20" x14ac:dyDescent="0.2">
      <c r="D138" t="s">
        <v>124</v>
      </c>
      <c r="F138" s="5">
        <f>$F$17+$F$18</f>
        <v>0.22750000000000001</v>
      </c>
      <c r="G138" s="5">
        <f>$G$17+$G$18</f>
        <v>0.22750000000000001</v>
      </c>
      <c r="H138" s="5">
        <f>$H$17+$H$18</f>
        <v>0.19750000000000001</v>
      </c>
      <c r="I138" s="5">
        <f>$I$17+$I$18</f>
        <v>0.1575</v>
      </c>
      <c r="J138" s="5">
        <f>$J$17+$J$18</f>
        <v>0.11749999999999999</v>
      </c>
      <c r="K138" s="5">
        <f>$K$17+$K$18</f>
        <v>0.11749999999999999</v>
      </c>
      <c r="L138" s="5">
        <f>$L$17+$L$18</f>
        <v>0.11749999999999999</v>
      </c>
      <c r="M138" s="5">
        <f>$M$17+$M$18</f>
        <v>0.11749999999999999</v>
      </c>
      <c r="N138" s="5">
        <f>$N$17+$N$18</f>
        <v>0.11749999999999999</v>
      </c>
      <c r="O138" s="5">
        <f>$O$17+$O$18</f>
        <v>0.1575</v>
      </c>
      <c r="P138" s="5">
        <f>$P$17+$P$18</f>
        <v>0.20250000000000001</v>
      </c>
      <c r="Q138" s="5">
        <f>$Q$17+$Q$18</f>
        <v>0.21250000000000002</v>
      </c>
      <c r="R138" s="5">
        <f>$R$17+$R$18</f>
        <v>0.23250000000000001</v>
      </c>
      <c r="S138" s="5">
        <f>$S$17+$S$18</f>
        <v>0.23250000000000001</v>
      </c>
      <c r="T138" s="5">
        <f>$T$17+$T$18</f>
        <v>0.20250000000000001</v>
      </c>
    </row>
    <row r="139" spans="2:20" x14ac:dyDescent="0.2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x14ac:dyDescent="0.2">
      <c r="C140" t="s">
        <v>146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</row>
    <row r="141" spans="2:20" x14ac:dyDescent="0.2">
      <c r="C141" t="s">
        <v>116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</row>
    <row r="142" spans="2:20" x14ac:dyDescent="0.2">
      <c r="C142" t="s">
        <v>147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2:20" x14ac:dyDescent="0.2">
      <c r="C143" t="s">
        <v>116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</row>
    <row r="144" spans="2:20" x14ac:dyDescent="0.2">
      <c r="C144" t="s">
        <v>5</v>
      </c>
      <c r="F144" s="5" t="s">
        <v>91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52" x14ac:dyDescent="0.2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52" x14ac:dyDescent="0.2">
      <c r="B146" s="3" t="s">
        <v>15</v>
      </c>
      <c r="C146" s="3" t="s">
        <v>20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52" x14ac:dyDescent="0.2">
      <c r="D147" t="s">
        <v>123</v>
      </c>
      <c r="F147" s="5">
        <f>$F$17+$F$18</f>
        <v>0.22750000000000001</v>
      </c>
      <c r="G147" s="5">
        <f>$G$17+$G$18</f>
        <v>0.22750000000000001</v>
      </c>
      <c r="H147" s="5">
        <f>$H$17+$H$18</f>
        <v>0.19750000000000001</v>
      </c>
      <c r="I147" s="5">
        <f>$I$17+$I$18</f>
        <v>0.1575</v>
      </c>
      <c r="J147" s="5">
        <f>$J$17+$J$18</f>
        <v>0.11749999999999999</v>
      </c>
      <c r="K147" s="5">
        <f>$K$17+$K$18</f>
        <v>0.11749999999999999</v>
      </c>
      <c r="L147" s="5">
        <f>$L$17+$L$18</f>
        <v>0.11749999999999999</v>
      </c>
      <c r="M147" s="5">
        <f>$M$17+$M$18</f>
        <v>0.11749999999999999</v>
      </c>
      <c r="N147" s="5">
        <f>$N$17+$N$18</f>
        <v>0.11749999999999999</v>
      </c>
      <c r="O147" s="5">
        <f>$O$17+$O$18</f>
        <v>0.1575</v>
      </c>
      <c r="P147" s="5">
        <f>$P$17+$P$18</f>
        <v>0.20250000000000001</v>
      </c>
      <c r="Q147" s="5">
        <f>$Q$17+$Q$18</f>
        <v>0.21250000000000002</v>
      </c>
      <c r="R147" s="5">
        <f>$R$17+$R$18</f>
        <v>0.23250000000000001</v>
      </c>
      <c r="S147" s="5">
        <f>$S$17+$S$18</f>
        <v>0.23250000000000001</v>
      </c>
      <c r="T147" s="5">
        <f>$T$17+$T$18</f>
        <v>0.20250000000000001</v>
      </c>
    </row>
    <row r="148" spans="2:52" x14ac:dyDescent="0.2">
      <c r="D148" t="s">
        <v>124</v>
      </c>
      <c r="F148" s="5">
        <f>$F$17+$F$18</f>
        <v>0.22750000000000001</v>
      </c>
      <c r="G148" s="5">
        <f>$G$17+$G$18</f>
        <v>0.22750000000000001</v>
      </c>
      <c r="H148" s="5">
        <f>$H$17+$H$18</f>
        <v>0.19750000000000001</v>
      </c>
      <c r="I148" s="5">
        <f>$I$17+$I$18</f>
        <v>0.1575</v>
      </c>
      <c r="J148" s="5">
        <f>$J$17+$J$18</f>
        <v>0.11749999999999999</v>
      </c>
      <c r="K148" s="5">
        <f>$K$17+$K$18</f>
        <v>0.11749999999999999</v>
      </c>
      <c r="L148" s="5">
        <f>$L$17+$L$18</f>
        <v>0.11749999999999999</v>
      </c>
      <c r="M148" s="5">
        <f>$M$17+$M$18</f>
        <v>0.11749999999999999</v>
      </c>
      <c r="N148" s="5">
        <f>$N$17+$N$18</f>
        <v>0.11749999999999999</v>
      </c>
      <c r="O148" s="5">
        <f>$O$17+$O$18</f>
        <v>0.1575</v>
      </c>
      <c r="P148" s="5">
        <f>$P$17+$P$18</f>
        <v>0.20250000000000001</v>
      </c>
      <c r="Q148" s="5">
        <f>$Q$17+$Q$18</f>
        <v>0.21250000000000002</v>
      </c>
      <c r="R148" s="5">
        <f>$R$17+$R$18</f>
        <v>0.23250000000000001</v>
      </c>
      <c r="S148" s="5">
        <f>$S$17+$S$18</f>
        <v>0.23250000000000001</v>
      </c>
      <c r="T148" s="5">
        <f>$T$17+$T$18</f>
        <v>0.20250000000000001</v>
      </c>
    </row>
    <row r="149" spans="2:52" x14ac:dyDescent="0.2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2:52" hidden="1" x14ac:dyDescent="0.2">
      <c r="C150" t="s">
        <v>146</v>
      </c>
      <c r="F150" s="10">
        <f>33635+620+79078+162973+165230-111905</f>
        <v>329631</v>
      </c>
      <c r="G150" s="10">
        <f>32335+580+73964+152556+145290-97924</f>
        <v>306801</v>
      </c>
      <c r="H150" s="10">
        <f>33325+620+78703+156829+153450-111905</f>
        <v>311022</v>
      </c>
      <c r="I150" s="10">
        <f>29100+77229+202382+81450-72200</f>
        <v>317961</v>
      </c>
      <c r="J150" s="10">
        <f>17391+61380+161124+62620-104974</f>
        <v>197541</v>
      </c>
      <c r="K150" s="10">
        <f>11520+59400+158702+59550-72200</f>
        <v>216972</v>
      </c>
      <c r="L150" s="10">
        <f>11233+61380+133426+52700-73760</f>
        <v>184979</v>
      </c>
      <c r="M150" s="10">
        <f>11233+55180+137704+59210-73760</f>
        <v>189567</v>
      </c>
      <c r="N150" s="10">
        <f>12041+59400+137822+61200-72200</f>
        <v>198263</v>
      </c>
      <c r="O150" s="10">
        <f>14756+64480+147963+63860-73760</f>
        <v>217299</v>
      </c>
      <c r="P150" s="10">
        <f>13950+146723+63860-73760</f>
        <v>150773</v>
      </c>
      <c r="Q150" s="10">
        <f>12400+51373</f>
        <v>63773</v>
      </c>
      <c r="R150" s="10">
        <f>12400+21923</f>
        <v>34323</v>
      </c>
      <c r="S150" s="10">
        <f>11200+19684</f>
        <v>30884</v>
      </c>
      <c r="T150" s="10">
        <f>11780+20956</f>
        <v>32736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2:52" s="7" customFormat="1" x14ac:dyDescent="0.2">
      <c r="C151" t="s">
        <v>146</v>
      </c>
      <c r="F151" s="10">
        <f>F150/31</f>
        <v>10633.258064516129</v>
      </c>
      <c r="G151" s="10">
        <f>G150/29</f>
        <v>10579.344827586207</v>
      </c>
      <c r="H151" s="10">
        <f>H150/31</f>
        <v>10032.967741935483</v>
      </c>
      <c r="I151" s="10">
        <f>I150/30</f>
        <v>10598.7</v>
      </c>
      <c r="J151" s="10">
        <f>J150/31</f>
        <v>6372.2903225806449</v>
      </c>
      <c r="K151" s="10">
        <f>K150/30</f>
        <v>7232.4</v>
      </c>
      <c r="L151" s="10">
        <f>L150/31</f>
        <v>5967.0645161290322</v>
      </c>
      <c r="M151" s="10">
        <f>M150/31</f>
        <v>6115.0645161290322</v>
      </c>
      <c r="N151" s="10">
        <f>N150/30</f>
        <v>6608.7666666666664</v>
      </c>
      <c r="O151" s="10">
        <f>O150/31</f>
        <v>7009.6451612903229</v>
      </c>
      <c r="P151" s="10">
        <f>P150/30</f>
        <v>5025.7666666666664</v>
      </c>
      <c r="Q151" s="10">
        <f>Q150/31</f>
        <v>2057.1935483870966</v>
      </c>
      <c r="R151" s="10">
        <f>R150/31</f>
        <v>1107.1935483870968</v>
      </c>
      <c r="S151" s="10">
        <f>S150/28</f>
        <v>1103</v>
      </c>
      <c r="T151" s="10">
        <f>T150/31</f>
        <v>1056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2:52" x14ac:dyDescent="0.2">
      <c r="C152" t="s">
        <v>116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2:52" hidden="1" x14ac:dyDescent="0.2">
      <c r="C153" t="s">
        <v>147</v>
      </c>
      <c r="F153" s="10">
        <f>18971+115875+4537+1083</f>
        <v>140466</v>
      </c>
      <c r="G153" s="10">
        <f>17163+104521+4537+1079</f>
        <v>127300</v>
      </c>
      <c r="H153" s="10">
        <f>17664+115378+4536+1075</f>
        <v>138653</v>
      </c>
      <c r="I153" s="10">
        <f>16941+111554+4535+1070</f>
        <v>134100</v>
      </c>
      <c r="J153" s="10">
        <f>17137+113656+4535+1066</f>
        <v>136394</v>
      </c>
      <c r="K153" s="10">
        <f>16555+109374+141+1061</f>
        <v>127131</v>
      </c>
      <c r="L153" s="10">
        <f>17061+112808+140+1056</f>
        <v>131065</v>
      </c>
      <c r="M153" s="10">
        <f>16970+112241+140+1052</f>
        <v>130403</v>
      </c>
      <c r="N153" s="10">
        <f>16025+108123+139+1047</f>
        <v>125334</v>
      </c>
      <c r="O153" s="10">
        <f>16423+111111+139+1043</f>
        <v>128716</v>
      </c>
      <c r="P153" s="10">
        <f>15866+107039+138</f>
        <v>123043</v>
      </c>
      <c r="Q153" s="10">
        <f>16351+86444</f>
        <v>102795</v>
      </c>
      <c r="R153" s="10">
        <f>14849+85603</f>
        <v>100452</v>
      </c>
      <c r="S153" s="10">
        <f>12584+76945</f>
        <v>89529</v>
      </c>
      <c r="T153" s="10">
        <f>13525+58974</f>
        <v>72499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2:52" s="7" customFormat="1" x14ac:dyDescent="0.2">
      <c r="C154" t="s">
        <v>147</v>
      </c>
      <c r="F154" s="10">
        <f>F153/31</f>
        <v>4531.1612903225805</v>
      </c>
      <c r="G154" s="10">
        <v>4521</v>
      </c>
      <c r="H154" s="10">
        <f>H153/31</f>
        <v>4472.677419354839</v>
      </c>
      <c r="I154" s="10">
        <f>I153/30</f>
        <v>4470</v>
      </c>
      <c r="J154" s="10">
        <f>J153/31</f>
        <v>4399.8064516129034</v>
      </c>
      <c r="K154" s="10">
        <f>K153/30</f>
        <v>4237.7</v>
      </c>
      <c r="L154" s="10">
        <f>L153/31</f>
        <v>4227.9032258064517</v>
      </c>
      <c r="M154" s="10">
        <f>M153/31</f>
        <v>4206.5483870967746</v>
      </c>
      <c r="N154" s="10">
        <f>N153/30</f>
        <v>4177.8</v>
      </c>
      <c r="O154" s="10">
        <f>O153/31</f>
        <v>4152.1290322580644</v>
      </c>
      <c r="P154" s="10">
        <f>P153/30</f>
        <v>4101.4333333333334</v>
      </c>
      <c r="Q154" s="10">
        <v>3320</v>
      </c>
      <c r="R154" s="10">
        <f>R153/31</f>
        <v>3240.3870967741937</v>
      </c>
      <c r="S154" s="10">
        <f>S153/28</f>
        <v>3197.4642857142858</v>
      </c>
      <c r="T154" s="10">
        <f>T153/31</f>
        <v>2338.6774193548385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2:52" x14ac:dyDescent="0.2">
      <c r="C155" t="s">
        <v>116</v>
      </c>
      <c r="F155" s="6">
        <v>4617</v>
      </c>
      <c r="G155" s="6">
        <v>4617</v>
      </c>
      <c r="H155" s="6">
        <v>4617</v>
      </c>
      <c r="I155" s="6">
        <v>4603</v>
      </c>
      <c r="J155" s="6">
        <v>4603</v>
      </c>
      <c r="K155" s="6">
        <v>4511</v>
      </c>
      <c r="L155" s="6">
        <v>4511</v>
      </c>
      <c r="M155" s="6">
        <v>4510</v>
      </c>
      <c r="N155" s="6">
        <v>4476</v>
      </c>
      <c r="O155" s="6">
        <v>4466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2:52" x14ac:dyDescent="0.2">
      <c r="C156" t="s">
        <v>5</v>
      </c>
      <c r="F156" s="5" t="s">
        <v>92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52" x14ac:dyDescent="0.2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52" x14ac:dyDescent="0.2">
      <c r="B158" s="3" t="s">
        <v>15</v>
      </c>
      <c r="C158" s="3" t="s">
        <v>21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52" x14ac:dyDescent="0.2">
      <c r="D159" t="s">
        <v>123</v>
      </c>
      <c r="F159" s="5">
        <f>$F$17+$F$18</f>
        <v>0.22750000000000001</v>
      </c>
      <c r="G159" s="5">
        <f>$G$17+$G$18</f>
        <v>0.22750000000000001</v>
      </c>
      <c r="H159" s="5">
        <f>$H$17+$H$18</f>
        <v>0.19750000000000001</v>
      </c>
      <c r="I159" s="5">
        <f>$I$17+$I$18</f>
        <v>0.1575</v>
      </c>
      <c r="J159" s="5">
        <f>$J$17+$J$18</f>
        <v>0.11749999999999999</v>
      </c>
      <c r="K159" s="5">
        <f>$K$17+$K$18</f>
        <v>0.11749999999999999</v>
      </c>
      <c r="L159" s="5">
        <f>$L$17+$L$18</f>
        <v>0.11749999999999999</v>
      </c>
      <c r="M159" s="5">
        <f>$M$17+$M$18</f>
        <v>0.11749999999999999</v>
      </c>
      <c r="N159" s="5">
        <f>$N$17+$N$18</f>
        <v>0.11749999999999999</v>
      </c>
      <c r="O159" s="5">
        <f>$O$17+$O$18</f>
        <v>0.1575</v>
      </c>
      <c r="P159" s="5">
        <f>$P$17+$P$18</f>
        <v>0.20250000000000001</v>
      </c>
      <c r="Q159" s="5">
        <f>$Q$17+$Q$18</f>
        <v>0.21250000000000002</v>
      </c>
      <c r="R159" s="5">
        <f>$R$17+$R$18</f>
        <v>0.23250000000000001</v>
      </c>
      <c r="S159" s="5">
        <f>$S$17+$S$18</f>
        <v>0.23250000000000001</v>
      </c>
      <c r="T159" s="5">
        <f>$T$17+$T$18</f>
        <v>0.20250000000000001</v>
      </c>
    </row>
    <row r="160" spans="2:52" x14ac:dyDescent="0.2">
      <c r="D160" t="s">
        <v>124</v>
      </c>
      <c r="F160" s="5">
        <f>$F$17+$F$18</f>
        <v>0.22750000000000001</v>
      </c>
      <c r="G160" s="5">
        <f>$G$17+$G$18</f>
        <v>0.22750000000000001</v>
      </c>
      <c r="H160" s="5">
        <f>$H$17+$H$18</f>
        <v>0.19750000000000001</v>
      </c>
      <c r="I160" s="5">
        <f>$I$17+$I$18</f>
        <v>0.1575</v>
      </c>
      <c r="J160" s="5">
        <f>$J$17+$J$18</f>
        <v>0.11749999999999999</v>
      </c>
      <c r="K160" s="5">
        <f>$K$17+$K$18</f>
        <v>0.11749999999999999</v>
      </c>
      <c r="L160" s="5">
        <f>$L$17+$L$18</f>
        <v>0.11749999999999999</v>
      </c>
      <c r="M160" s="5">
        <f>$M$17+$M$18</f>
        <v>0.11749999999999999</v>
      </c>
      <c r="N160" s="5">
        <f>$N$17+$N$18</f>
        <v>0.11749999999999999</v>
      </c>
      <c r="O160" s="5">
        <f>$O$17+$O$18</f>
        <v>0.1575</v>
      </c>
      <c r="P160" s="5">
        <f>$P$17+$P$18</f>
        <v>0.20250000000000001</v>
      </c>
      <c r="Q160" s="5">
        <f>$Q$17+$Q$18</f>
        <v>0.21250000000000002</v>
      </c>
      <c r="R160" s="5">
        <f>$R$17+$R$18</f>
        <v>0.23250000000000001</v>
      </c>
      <c r="S160" s="5">
        <f>$S$17+$S$18</f>
        <v>0.23250000000000001</v>
      </c>
      <c r="T160" s="5">
        <f>$T$17+$T$18</f>
        <v>0.20250000000000001</v>
      </c>
    </row>
    <row r="161" spans="2:52" x14ac:dyDescent="0.2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52" x14ac:dyDescent="0.2">
      <c r="C162" t="s">
        <v>146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</row>
    <row r="163" spans="2:52" x14ac:dyDescent="0.2">
      <c r="C163" t="s">
        <v>116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</row>
    <row r="164" spans="2:52" x14ac:dyDescent="0.2">
      <c r="C164" t="s">
        <v>147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</row>
    <row r="165" spans="2:52" x14ac:dyDescent="0.2">
      <c r="C165" t="s">
        <v>116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</row>
    <row r="166" spans="2:52" x14ac:dyDescent="0.2">
      <c r="C166" t="s">
        <v>5</v>
      </c>
      <c r="F166" s="5" t="s">
        <v>93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52" x14ac:dyDescent="0.2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52" x14ac:dyDescent="0.2">
      <c r="B168" s="3" t="s">
        <v>22</v>
      </c>
      <c r="C168" s="3" t="s">
        <v>23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52" x14ac:dyDescent="0.2">
      <c r="D169" t="s">
        <v>123</v>
      </c>
      <c r="F169" s="5">
        <f>$F$17+$F$18</f>
        <v>0.22750000000000001</v>
      </c>
      <c r="G169" s="5">
        <f>$G$17+$G$18</f>
        <v>0.22750000000000001</v>
      </c>
      <c r="H169" s="5">
        <f>$H$17+$H$18</f>
        <v>0.19750000000000001</v>
      </c>
      <c r="I169" s="5">
        <f>$I$17+$I$18</f>
        <v>0.1575</v>
      </c>
      <c r="J169" s="5">
        <f>$J$17+$J$18</f>
        <v>0.11749999999999999</v>
      </c>
      <c r="K169" s="5">
        <f>$K$17+$K$18</f>
        <v>0.11749999999999999</v>
      </c>
      <c r="L169" s="5">
        <f>$L$17+$L$18</f>
        <v>0.11749999999999999</v>
      </c>
      <c r="M169" s="5">
        <f>$M$17+$M$18</f>
        <v>0.11749999999999999</v>
      </c>
      <c r="N169" s="5">
        <f>$N$17+$N$18</f>
        <v>0.11749999999999999</v>
      </c>
      <c r="O169" s="5">
        <f>$O$17+$O$18</f>
        <v>0.1575</v>
      </c>
      <c r="P169" s="5">
        <f>$P$17+$P$18</f>
        <v>0.20250000000000001</v>
      </c>
      <c r="Q169" s="5">
        <f>$Q$17+$Q$18</f>
        <v>0.21250000000000002</v>
      </c>
      <c r="R169" s="5">
        <f>$R$17+$R$18</f>
        <v>0.23250000000000001</v>
      </c>
      <c r="S169" s="5">
        <f>$S$17+$S$18</f>
        <v>0.23250000000000001</v>
      </c>
      <c r="T169" s="5">
        <f>$T$17+$T$18</f>
        <v>0.20250000000000001</v>
      </c>
    </row>
    <row r="170" spans="2:52" x14ac:dyDescent="0.2">
      <c r="D170" t="s">
        <v>124</v>
      </c>
      <c r="F170" s="5">
        <f>$F$17+$F$18</f>
        <v>0.22750000000000001</v>
      </c>
      <c r="G170" s="5">
        <f>$G$17+$G$18</f>
        <v>0.22750000000000001</v>
      </c>
      <c r="H170" s="5">
        <f>$H$17+$H$18</f>
        <v>0.19750000000000001</v>
      </c>
      <c r="I170" s="5">
        <f>$I$17+$I$18</f>
        <v>0.1575</v>
      </c>
      <c r="J170" s="5">
        <f>$J$17+$J$18</f>
        <v>0.11749999999999999</v>
      </c>
      <c r="K170" s="5">
        <f>$K$17+$K$18</f>
        <v>0.11749999999999999</v>
      </c>
      <c r="L170" s="5">
        <f>$L$17+$L$18</f>
        <v>0.11749999999999999</v>
      </c>
      <c r="M170" s="5">
        <f>$M$17+$M$18</f>
        <v>0.11749999999999999</v>
      </c>
      <c r="N170" s="5">
        <f>$N$17+$N$18</f>
        <v>0.11749999999999999</v>
      </c>
      <c r="O170" s="5">
        <f>$O$17+$O$18</f>
        <v>0.1575</v>
      </c>
      <c r="P170" s="5">
        <f>$P$17+$P$18</f>
        <v>0.20250000000000001</v>
      </c>
      <c r="Q170" s="5">
        <f>$Q$17+$Q$18</f>
        <v>0.21250000000000002</v>
      </c>
      <c r="R170" s="5">
        <f>$R$17+$R$18</f>
        <v>0.23250000000000001</v>
      </c>
      <c r="S170" s="5">
        <f>$S$17+$S$18</f>
        <v>0.23250000000000001</v>
      </c>
      <c r="T170" s="5">
        <f>$T$17+$T$18</f>
        <v>0.20250000000000001</v>
      </c>
    </row>
    <row r="171" spans="2:52" x14ac:dyDescent="0.2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2:52" hidden="1" x14ac:dyDescent="0.2">
      <c r="C172" t="s">
        <v>146</v>
      </c>
      <c r="F172" s="10">
        <v>46803</v>
      </c>
      <c r="G172" s="10">
        <v>39147</v>
      </c>
      <c r="H172" s="10">
        <v>41237</v>
      </c>
      <c r="I172" s="10">
        <v>63069</v>
      </c>
      <c r="J172" s="10">
        <v>62774</v>
      </c>
      <c r="K172" s="10">
        <v>47361</v>
      </c>
      <c r="L172" s="10">
        <v>11574</v>
      </c>
      <c r="M172" s="10">
        <v>11834</v>
      </c>
      <c r="N172" s="10">
        <v>12248</v>
      </c>
      <c r="O172" s="10">
        <v>11857</v>
      </c>
      <c r="P172" s="10">
        <v>14359</v>
      </c>
      <c r="Q172" s="10">
        <v>9357</v>
      </c>
      <c r="R172" s="10">
        <v>11048</v>
      </c>
      <c r="S172" s="10">
        <v>9453</v>
      </c>
      <c r="T172" s="10">
        <v>8909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2:52" s="7" customFormat="1" x14ac:dyDescent="0.2">
      <c r="C173" t="s">
        <v>146</v>
      </c>
      <c r="F173" s="10">
        <f>F172/31</f>
        <v>1509.7741935483871</v>
      </c>
      <c r="G173" s="10">
        <f>G172/29</f>
        <v>1349.8965517241379</v>
      </c>
      <c r="H173" s="10">
        <f>H172/31</f>
        <v>1330.2258064516129</v>
      </c>
      <c r="I173" s="10">
        <f>I172/30</f>
        <v>2102.3000000000002</v>
      </c>
      <c r="J173" s="10">
        <f>J172/31</f>
        <v>2024.9677419354839</v>
      </c>
      <c r="K173" s="10">
        <f>K172/30</f>
        <v>1578.7</v>
      </c>
      <c r="L173" s="10">
        <f>L172/31</f>
        <v>373.35483870967744</v>
      </c>
      <c r="M173" s="10">
        <f>M172/31</f>
        <v>381.74193548387098</v>
      </c>
      <c r="N173" s="10">
        <f>N172/30</f>
        <v>408.26666666666665</v>
      </c>
      <c r="O173" s="10">
        <f>O172/31</f>
        <v>382.48387096774195</v>
      </c>
      <c r="P173" s="10">
        <f>P172/30</f>
        <v>478.63333333333333</v>
      </c>
      <c r="Q173" s="10">
        <f>Q172/31</f>
        <v>301.83870967741933</v>
      </c>
      <c r="R173" s="10">
        <f>R172/31</f>
        <v>356.38709677419354</v>
      </c>
      <c r="S173" s="10">
        <f>S172/28</f>
        <v>337.60714285714283</v>
      </c>
      <c r="T173" s="10">
        <f>T172/31</f>
        <v>287.38709677419354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2:52" x14ac:dyDescent="0.2">
      <c r="C174" t="s">
        <v>116</v>
      </c>
      <c r="F174" s="6">
        <v>8000</v>
      </c>
      <c r="G174" s="6">
        <v>8000</v>
      </c>
      <c r="H174" s="6">
        <v>8000</v>
      </c>
      <c r="I174" s="6">
        <v>8000</v>
      </c>
      <c r="J174" s="6">
        <v>8000</v>
      </c>
      <c r="K174" s="6">
        <v>8000</v>
      </c>
      <c r="L174" s="6">
        <v>8000</v>
      </c>
      <c r="M174" s="6">
        <v>8000</v>
      </c>
      <c r="N174" s="6">
        <v>8000</v>
      </c>
      <c r="O174" s="6">
        <v>8000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2:52" hidden="1" x14ac:dyDescent="0.2">
      <c r="C175" t="s">
        <v>147</v>
      </c>
      <c r="F175" s="10">
        <v>423919</v>
      </c>
      <c r="G175" s="10">
        <v>369676</v>
      </c>
      <c r="H175" s="10">
        <v>287669</v>
      </c>
      <c r="I175" s="10">
        <v>177572</v>
      </c>
      <c r="J175" s="10">
        <v>87992</v>
      </c>
      <c r="K175" s="10">
        <v>43003</v>
      </c>
      <c r="L175" s="10">
        <v>40947</v>
      </c>
      <c r="M175" s="10">
        <v>41348</v>
      </c>
      <c r="N175" s="10">
        <v>52642</v>
      </c>
      <c r="O175" s="10">
        <v>85825</v>
      </c>
      <c r="P175" s="10">
        <v>93095</v>
      </c>
      <c r="Q175" s="10">
        <v>125431</v>
      </c>
      <c r="R175" s="10">
        <v>53808</v>
      </c>
      <c r="S175" s="10">
        <v>22306</v>
      </c>
      <c r="T175" s="10">
        <v>9049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2:52" s="7" customFormat="1" x14ac:dyDescent="0.2">
      <c r="C176" t="s">
        <v>147</v>
      </c>
      <c r="F176" s="10">
        <f>F175/31</f>
        <v>13674.806451612903</v>
      </c>
      <c r="G176" s="10">
        <v>13130</v>
      </c>
      <c r="H176" s="10">
        <f>H175/31</f>
        <v>9279.645161290322</v>
      </c>
      <c r="I176" s="10">
        <f>I175/30</f>
        <v>5919.0666666666666</v>
      </c>
      <c r="J176" s="10">
        <f>J175/31</f>
        <v>2838.4516129032259</v>
      </c>
      <c r="K176" s="10">
        <f>K175/30</f>
        <v>1433.4333333333334</v>
      </c>
      <c r="L176" s="10">
        <f>L175/31</f>
        <v>1320.8709677419354</v>
      </c>
      <c r="M176" s="10">
        <f>M175/31</f>
        <v>1333.8064516129032</v>
      </c>
      <c r="N176" s="10">
        <f>N175/30</f>
        <v>1754.7333333333333</v>
      </c>
      <c r="O176" s="10">
        <f>O175/31</f>
        <v>2768.5483870967741</v>
      </c>
      <c r="P176" s="10">
        <f>P175/30</f>
        <v>3103.1666666666665</v>
      </c>
      <c r="Q176" s="10">
        <f>Q175/31</f>
        <v>4046.1612903225805</v>
      </c>
      <c r="R176" s="10">
        <f>R175/31</f>
        <v>1735.741935483871</v>
      </c>
      <c r="S176" s="10">
        <f>S175/28</f>
        <v>796.64285714285711</v>
      </c>
      <c r="T176" s="10">
        <f>T175/31</f>
        <v>291.90322580645159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2:52" x14ac:dyDescent="0.2">
      <c r="C177" t="s">
        <v>116</v>
      </c>
      <c r="F177" s="6">
        <v>18443</v>
      </c>
      <c r="G177" s="6">
        <v>18443</v>
      </c>
      <c r="H177" s="6">
        <v>18443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2:52" x14ac:dyDescent="0.2">
      <c r="C178" t="s">
        <v>5</v>
      </c>
      <c r="F178" s="5" t="s">
        <v>94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2:52" x14ac:dyDescent="0.2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2:52" x14ac:dyDescent="0.2">
      <c r="B180" s="3" t="s">
        <v>22</v>
      </c>
      <c r="C180" s="3" t="s">
        <v>24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2:52" x14ac:dyDescent="0.2">
      <c r="D181" t="s">
        <v>123</v>
      </c>
      <c r="F181" s="5">
        <f>$F$17+$F$18</f>
        <v>0.22750000000000001</v>
      </c>
      <c r="G181" s="5">
        <f>$G$17+$G$18</f>
        <v>0.22750000000000001</v>
      </c>
      <c r="H181" s="5">
        <f>$H$17+$H$18</f>
        <v>0.19750000000000001</v>
      </c>
      <c r="I181" s="5">
        <f>$I$17+$I$18</f>
        <v>0.1575</v>
      </c>
      <c r="J181" s="5">
        <f>$J$17+$J$18</f>
        <v>0.11749999999999999</v>
      </c>
      <c r="K181" s="5">
        <f>$K$17+$K$18</f>
        <v>0.11749999999999999</v>
      </c>
      <c r="L181" s="5">
        <f>$L$17+$L$18</f>
        <v>0.11749999999999999</v>
      </c>
      <c r="M181" s="5">
        <f>$M$17+$M$18</f>
        <v>0.11749999999999999</v>
      </c>
      <c r="N181" s="5">
        <f>$N$17+$N$18</f>
        <v>0.11749999999999999</v>
      </c>
      <c r="O181" s="5">
        <f>$O$17+$O$18</f>
        <v>0.1575</v>
      </c>
      <c r="P181" s="5">
        <f>$P$17+$P$18</f>
        <v>0.20250000000000001</v>
      </c>
      <c r="Q181" s="5">
        <f>$Q$17+$Q$18</f>
        <v>0.21250000000000002</v>
      </c>
      <c r="R181" s="5">
        <f>$R$17+$R$18</f>
        <v>0.23250000000000001</v>
      </c>
      <c r="S181" s="5">
        <f>$S$17+$S$18</f>
        <v>0.23250000000000001</v>
      </c>
      <c r="T181" s="5">
        <f>$T$17+$T$18</f>
        <v>0.20250000000000001</v>
      </c>
    </row>
    <row r="182" spans="2:52" x14ac:dyDescent="0.2">
      <c r="D182" t="s">
        <v>124</v>
      </c>
      <c r="F182" s="5">
        <f>$F$17+$F$18</f>
        <v>0.22750000000000001</v>
      </c>
      <c r="G182" s="5">
        <f>$G$17+$G$18</f>
        <v>0.22750000000000001</v>
      </c>
      <c r="H182" s="5">
        <f>$H$17+$H$18</f>
        <v>0.19750000000000001</v>
      </c>
      <c r="I182" s="5">
        <f>$I$17+$I$18</f>
        <v>0.1575</v>
      </c>
      <c r="J182" s="5">
        <f>$J$17+$J$18</f>
        <v>0.11749999999999999</v>
      </c>
      <c r="K182" s="5">
        <f>$K$17+$K$18</f>
        <v>0.11749999999999999</v>
      </c>
      <c r="L182" s="5">
        <f>$L$17+$L$18</f>
        <v>0.11749999999999999</v>
      </c>
      <c r="M182" s="5">
        <f>$M$17+$M$18</f>
        <v>0.11749999999999999</v>
      </c>
      <c r="N182" s="5">
        <f>$N$17+$N$18</f>
        <v>0.11749999999999999</v>
      </c>
      <c r="O182" s="5">
        <f>$O$17+$O$18</f>
        <v>0.1575</v>
      </c>
      <c r="P182" s="5">
        <f>$P$17+$P$18</f>
        <v>0.20250000000000001</v>
      </c>
      <c r="Q182" s="5">
        <f>$Q$17+$Q$18</f>
        <v>0.21250000000000002</v>
      </c>
      <c r="R182" s="5">
        <f>$R$17+$R$18</f>
        <v>0.23250000000000001</v>
      </c>
      <c r="S182" s="5">
        <f>$S$17+$S$18</f>
        <v>0.23250000000000001</v>
      </c>
      <c r="T182" s="5">
        <f>$T$17+$T$18</f>
        <v>0.20250000000000001</v>
      </c>
    </row>
    <row r="183" spans="2:52" x14ac:dyDescent="0.2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52" hidden="1" x14ac:dyDescent="0.2">
      <c r="C184" t="s">
        <v>146</v>
      </c>
      <c r="F184" s="10">
        <f>9559+28750+2150</f>
        <v>40459</v>
      </c>
      <c r="G184" s="10">
        <f>9558+25300+2106</f>
        <v>36964</v>
      </c>
      <c r="H184" s="10">
        <f>7142+20700+1679</f>
        <v>29521</v>
      </c>
      <c r="I184" s="10">
        <f>27920+214</f>
        <v>28134</v>
      </c>
      <c r="J184" s="10">
        <f>10224+42</f>
        <v>10266</v>
      </c>
      <c r="K184" s="10">
        <f>7147+10</f>
        <v>7157</v>
      </c>
      <c r="L184" s="10">
        <f>6461+6</f>
        <v>6467</v>
      </c>
      <c r="M184" s="10">
        <f>6380+7</f>
        <v>6387</v>
      </c>
      <c r="N184" s="10">
        <f>6639+8</f>
        <v>6647</v>
      </c>
      <c r="O184" s="10">
        <f>9197+13</f>
        <v>9210</v>
      </c>
      <c r="P184" s="10">
        <f>5915+34</f>
        <v>5949</v>
      </c>
      <c r="Q184" s="10">
        <f>7712+112</f>
        <v>7824</v>
      </c>
      <c r="R184" s="10">
        <f>10562+184</f>
        <v>10746</v>
      </c>
      <c r="S184" s="10">
        <f>9739+184</f>
        <v>9923</v>
      </c>
      <c r="T184" s="10">
        <f>7970+184</f>
        <v>8154</v>
      </c>
      <c r="U184" s="6"/>
      <c r="V184" s="6"/>
      <c r="W184" s="6"/>
      <c r="X184" s="6"/>
    </row>
    <row r="185" spans="2:52" s="7" customFormat="1" x14ac:dyDescent="0.2">
      <c r="C185" t="s">
        <v>146</v>
      </c>
      <c r="F185" s="10">
        <f>F184/31</f>
        <v>1305.1290322580646</v>
      </c>
      <c r="G185" s="10">
        <f>G184/29</f>
        <v>1274.6206896551723</v>
      </c>
      <c r="H185" s="10">
        <f>H184/31</f>
        <v>952.29032258064512</v>
      </c>
      <c r="I185" s="10">
        <f>I184/30</f>
        <v>937.8</v>
      </c>
      <c r="J185" s="10">
        <f>J184/31</f>
        <v>331.16129032258067</v>
      </c>
      <c r="K185" s="10">
        <f>K184/30</f>
        <v>238.56666666666666</v>
      </c>
      <c r="L185" s="10">
        <f>L184/31</f>
        <v>208.61290322580646</v>
      </c>
      <c r="M185" s="10">
        <f>M184/31</f>
        <v>206.03225806451613</v>
      </c>
      <c r="N185" s="10">
        <f>N184/30</f>
        <v>221.56666666666666</v>
      </c>
      <c r="O185" s="10">
        <f>O184/31</f>
        <v>297.09677419354841</v>
      </c>
      <c r="P185" s="10">
        <f>P184/30</f>
        <v>198.3</v>
      </c>
      <c r="Q185" s="10">
        <f>Q184/31</f>
        <v>252.38709677419354</v>
      </c>
      <c r="R185" s="10">
        <f>R184/31</f>
        <v>346.64516129032256</v>
      </c>
      <c r="S185" s="10">
        <f>S184/28</f>
        <v>354.39285714285717</v>
      </c>
      <c r="T185" s="10">
        <f>T184/31</f>
        <v>263.03225806451616</v>
      </c>
      <c r="U185" s="6"/>
      <c r="V185" s="6"/>
      <c r="W185" s="6"/>
      <c r="X185" s="6"/>
    </row>
    <row r="186" spans="2:52" x14ac:dyDescent="0.2">
      <c r="C186" t="s">
        <v>116</v>
      </c>
      <c r="F186" s="10">
        <v>5100</v>
      </c>
      <c r="G186" s="10">
        <v>5100</v>
      </c>
      <c r="H186" s="10">
        <v>5100</v>
      </c>
      <c r="I186" s="10">
        <v>5100</v>
      </c>
      <c r="J186" s="10">
        <v>5100</v>
      </c>
      <c r="K186" s="10">
        <v>4500</v>
      </c>
      <c r="L186" s="10">
        <v>4500</v>
      </c>
      <c r="M186" s="10">
        <v>4500</v>
      </c>
      <c r="N186" s="10">
        <v>4500</v>
      </c>
      <c r="O186" s="10">
        <v>4500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6"/>
      <c r="V186" s="6"/>
      <c r="W186" s="6"/>
      <c r="X186" s="6"/>
    </row>
    <row r="187" spans="2:52" hidden="1" x14ac:dyDescent="0.2">
      <c r="C187" t="s">
        <v>147</v>
      </c>
      <c r="F187" s="10">
        <v>169215</v>
      </c>
      <c r="G187" s="10">
        <v>148000</v>
      </c>
      <c r="H187" s="10">
        <v>115324</v>
      </c>
      <c r="I187" s="10">
        <v>70931</v>
      </c>
      <c r="J187" s="10">
        <v>35159</v>
      </c>
      <c r="K187" s="10">
        <v>17483</v>
      </c>
      <c r="L187" s="10">
        <v>16420</v>
      </c>
      <c r="M187" s="10">
        <v>16564</v>
      </c>
      <c r="N187" s="10">
        <v>20955</v>
      </c>
      <c r="O187" s="10">
        <v>34635</v>
      </c>
      <c r="P187" s="10">
        <v>38127</v>
      </c>
      <c r="Q187" s="10">
        <v>51382</v>
      </c>
      <c r="R187" s="10">
        <v>23626</v>
      </c>
      <c r="S187" s="10">
        <v>10450</v>
      </c>
      <c r="T187" s="10">
        <v>4658</v>
      </c>
      <c r="U187" s="6"/>
      <c r="V187" s="6"/>
      <c r="W187" s="6"/>
      <c r="X187" s="6"/>
    </row>
    <row r="188" spans="2:52" s="7" customFormat="1" x14ac:dyDescent="0.2">
      <c r="C188" t="s">
        <v>147</v>
      </c>
      <c r="F188" s="10">
        <f>F187/31</f>
        <v>5458.5483870967746</v>
      </c>
      <c r="G188" s="10">
        <v>5257</v>
      </c>
      <c r="H188" s="10">
        <f>H187/31</f>
        <v>3720.1290322580644</v>
      </c>
      <c r="I188" s="10">
        <f>I187/30</f>
        <v>2364.3666666666668</v>
      </c>
      <c r="J188" s="10">
        <f>J187/31</f>
        <v>1134.1612903225807</v>
      </c>
      <c r="K188" s="10">
        <f>K187/30</f>
        <v>582.76666666666665</v>
      </c>
      <c r="L188" s="10">
        <f>L187/31</f>
        <v>529.67741935483866</v>
      </c>
      <c r="M188" s="10">
        <f>M187/31</f>
        <v>534.32258064516134</v>
      </c>
      <c r="N188" s="10">
        <f>N187/30</f>
        <v>698.5</v>
      </c>
      <c r="O188" s="10">
        <f>O187/31</f>
        <v>1117.258064516129</v>
      </c>
      <c r="P188" s="10">
        <f>P187/30</f>
        <v>1270.9000000000001</v>
      </c>
      <c r="Q188" s="10">
        <f>Q187/31</f>
        <v>1657.483870967742</v>
      </c>
      <c r="R188" s="10">
        <f>R187/31</f>
        <v>762.12903225806451</v>
      </c>
      <c r="S188" s="10">
        <f>S187/28</f>
        <v>373.21428571428572</v>
      </c>
      <c r="T188" s="10">
        <f>T187/31</f>
        <v>150.25806451612902</v>
      </c>
      <c r="U188" s="6"/>
      <c r="V188" s="6"/>
      <c r="W188" s="6"/>
      <c r="X188" s="6"/>
    </row>
    <row r="189" spans="2:52" x14ac:dyDescent="0.2">
      <c r="C189" t="s">
        <v>116</v>
      </c>
      <c r="F189" s="6">
        <v>7511</v>
      </c>
      <c r="G189" s="6">
        <v>7511</v>
      </c>
      <c r="H189" s="6">
        <v>7511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/>
      <c r="V189" s="6"/>
      <c r="W189" s="6"/>
      <c r="X189" s="6"/>
    </row>
    <row r="190" spans="2:52" x14ac:dyDescent="0.2">
      <c r="C190" t="s">
        <v>5</v>
      </c>
      <c r="F190" s="5" t="s">
        <v>95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2:52" x14ac:dyDescent="0.2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2:52" x14ac:dyDescent="0.2">
      <c r="B192" s="3" t="s">
        <v>25</v>
      </c>
      <c r="C192" s="3" t="s">
        <v>96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2:20" x14ac:dyDescent="0.2">
      <c r="D193" t="s">
        <v>123</v>
      </c>
      <c r="F193" s="5">
        <f>$F$17+$F$18</f>
        <v>0.22750000000000001</v>
      </c>
      <c r="G193" s="5">
        <f>$G$17+$G$18</f>
        <v>0.22750000000000001</v>
      </c>
      <c r="H193" s="5">
        <f>$H$17+$H$18</f>
        <v>0.19750000000000001</v>
      </c>
      <c r="I193" s="5">
        <f>$I$17+$I$18</f>
        <v>0.1575</v>
      </c>
      <c r="J193" s="5">
        <f>$J$17+$J$18</f>
        <v>0.11749999999999999</v>
      </c>
      <c r="K193" s="5">
        <f>$K$17+$K$18</f>
        <v>0.11749999999999999</v>
      </c>
      <c r="L193" s="5">
        <f>$L$17+$L$18</f>
        <v>0.11749999999999999</v>
      </c>
      <c r="M193" s="5">
        <f>$M$17+$M$18</f>
        <v>0.11749999999999999</v>
      </c>
      <c r="N193" s="5">
        <f>$N$17+$N$18</f>
        <v>0.11749999999999999</v>
      </c>
      <c r="O193" s="5">
        <f>$O$17+$O$18</f>
        <v>0.1575</v>
      </c>
      <c r="P193" s="5">
        <f>$P$17+$P$18</f>
        <v>0.20250000000000001</v>
      </c>
      <c r="Q193" s="5">
        <f>$Q$17+$Q$18</f>
        <v>0.21250000000000002</v>
      </c>
      <c r="R193" s="5">
        <f>$R$17+$R$18</f>
        <v>0.23250000000000001</v>
      </c>
      <c r="S193" s="5">
        <f>$S$17+$S$18</f>
        <v>0.23250000000000001</v>
      </c>
      <c r="T193" s="5">
        <f>$T$17+$T$18</f>
        <v>0.20250000000000001</v>
      </c>
    </row>
    <row r="194" spans="2:20" x14ac:dyDescent="0.2">
      <c r="D194" t="s">
        <v>124</v>
      </c>
      <c r="F194" s="5">
        <f>$F$17+$F$18</f>
        <v>0.22750000000000001</v>
      </c>
      <c r="G194" s="5">
        <f>$G$17+$G$18</f>
        <v>0.22750000000000001</v>
      </c>
      <c r="H194" s="5">
        <f>$H$17+$H$18</f>
        <v>0.19750000000000001</v>
      </c>
      <c r="I194" s="5">
        <f>$I$17+$I$18</f>
        <v>0.1575</v>
      </c>
      <c r="J194" s="5">
        <f>$J$17+$J$18</f>
        <v>0.11749999999999999</v>
      </c>
      <c r="K194" s="5">
        <f>$K$17+$K$18</f>
        <v>0.11749999999999999</v>
      </c>
      <c r="L194" s="5">
        <f>$L$17+$L$18</f>
        <v>0.11749999999999999</v>
      </c>
      <c r="M194" s="5">
        <f>$M$17+$M$18</f>
        <v>0.11749999999999999</v>
      </c>
      <c r="N194" s="5">
        <f>$N$17+$N$18</f>
        <v>0.11749999999999999</v>
      </c>
      <c r="O194" s="5">
        <f>$O$17+$O$18</f>
        <v>0.1575</v>
      </c>
      <c r="P194" s="5">
        <f>$P$17+$P$18</f>
        <v>0.20250000000000001</v>
      </c>
      <c r="Q194" s="5">
        <f>$Q$17+$Q$18</f>
        <v>0.21250000000000002</v>
      </c>
      <c r="R194" s="5">
        <f>$R$17+$R$18</f>
        <v>0.23250000000000001</v>
      </c>
      <c r="S194" s="5">
        <f>$S$17+$S$18</f>
        <v>0.23250000000000001</v>
      </c>
      <c r="T194" s="5">
        <f>$T$17+$T$18</f>
        <v>0.20250000000000001</v>
      </c>
    </row>
    <row r="195" spans="2:20" x14ac:dyDescent="0.2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2:20" x14ac:dyDescent="0.2">
      <c r="C196" t="s">
        <v>146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</row>
    <row r="197" spans="2:20" x14ac:dyDescent="0.2">
      <c r="C197" t="s">
        <v>116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</row>
    <row r="198" spans="2:20" x14ac:dyDescent="0.2">
      <c r="C198" t="s">
        <v>147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</row>
    <row r="199" spans="2:20" x14ac:dyDescent="0.2">
      <c r="C199" t="s">
        <v>116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</row>
    <row r="200" spans="2:20" x14ac:dyDescent="0.2">
      <c r="C200" t="s">
        <v>5</v>
      </c>
      <c r="F200" s="5" t="s">
        <v>97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2:20" x14ac:dyDescent="0.2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2:20" x14ac:dyDescent="0.2">
      <c r="B202" s="3" t="s">
        <v>25</v>
      </c>
      <c r="C202" s="3" t="s">
        <v>26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2:20" x14ac:dyDescent="0.2">
      <c r="D203" t="s">
        <v>123</v>
      </c>
      <c r="F203" s="5">
        <f>$F$17+$F$18</f>
        <v>0.22750000000000001</v>
      </c>
      <c r="G203" s="5">
        <f>$G$17+$G$18</f>
        <v>0.22750000000000001</v>
      </c>
      <c r="H203" s="5">
        <f>$H$17+$H$18</f>
        <v>0.19750000000000001</v>
      </c>
      <c r="I203" s="5">
        <f>$I$17+$I$18</f>
        <v>0.1575</v>
      </c>
      <c r="J203" s="5">
        <f>$J$17+$J$18</f>
        <v>0.11749999999999999</v>
      </c>
      <c r="K203" s="5">
        <f>$K$17+$K$18</f>
        <v>0.11749999999999999</v>
      </c>
      <c r="L203" s="5">
        <f>$L$17+$L$18</f>
        <v>0.11749999999999999</v>
      </c>
      <c r="M203" s="5">
        <f>$M$17+$M$18</f>
        <v>0.11749999999999999</v>
      </c>
      <c r="N203" s="5">
        <f>$N$17+$N$18</f>
        <v>0.11749999999999999</v>
      </c>
      <c r="O203" s="5">
        <f>$O$17+$O$18</f>
        <v>0.1575</v>
      </c>
      <c r="P203" s="5">
        <f>$P$17+$P$18</f>
        <v>0.20250000000000001</v>
      </c>
      <c r="Q203" s="5">
        <f>$Q$17+$Q$18</f>
        <v>0.21250000000000002</v>
      </c>
      <c r="R203" s="5">
        <f>$R$17+$R$18</f>
        <v>0.23250000000000001</v>
      </c>
      <c r="S203" s="5">
        <f>$S$17+$S$18</f>
        <v>0.23250000000000001</v>
      </c>
      <c r="T203" s="5">
        <f>$T$17+$T$18</f>
        <v>0.20250000000000001</v>
      </c>
    </row>
    <row r="204" spans="2:20" x14ac:dyDescent="0.2">
      <c r="D204" t="s">
        <v>124</v>
      </c>
      <c r="F204" s="5">
        <f>$F$17+$F$18</f>
        <v>0.22750000000000001</v>
      </c>
      <c r="G204" s="5">
        <f>$G$17+$G$18</f>
        <v>0.22750000000000001</v>
      </c>
      <c r="H204" s="5">
        <f>$H$17+$H$18</f>
        <v>0.19750000000000001</v>
      </c>
      <c r="I204" s="5">
        <f>$I$17+$I$18</f>
        <v>0.1575</v>
      </c>
      <c r="J204" s="5">
        <f>$J$17+$J$18</f>
        <v>0.11749999999999999</v>
      </c>
      <c r="K204" s="5">
        <f>$K$17+$K$18</f>
        <v>0.11749999999999999</v>
      </c>
      <c r="L204" s="5">
        <f>$L$17+$L$18</f>
        <v>0.11749999999999999</v>
      </c>
      <c r="M204" s="5">
        <f>$M$17+$M$18</f>
        <v>0.11749999999999999</v>
      </c>
      <c r="N204" s="5">
        <f>$N$17+$N$18</f>
        <v>0.11749999999999999</v>
      </c>
      <c r="O204" s="5">
        <f>$O$17+$O$18</f>
        <v>0.1575</v>
      </c>
      <c r="P204" s="5">
        <f>$P$17+$P$18</f>
        <v>0.20250000000000001</v>
      </c>
      <c r="Q204" s="5">
        <f>$Q$17+$Q$18</f>
        <v>0.21250000000000002</v>
      </c>
      <c r="R204" s="5">
        <f>$R$17+$R$18</f>
        <v>0.23250000000000001</v>
      </c>
      <c r="S204" s="5">
        <f>$S$17+$S$18</f>
        <v>0.23250000000000001</v>
      </c>
      <c r="T204" s="5">
        <f>$T$17+$T$18</f>
        <v>0.20250000000000001</v>
      </c>
    </row>
    <row r="205" spans="2:20" x14ac:dyDescent="0.2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2:20" hidden="1" x14ac:dyDescent="0.2">
      <c r="C206" t="s">
        <v>146</v>
      </c>
      <c r="F206" s="8">
        <v>4517</v>
      </c>
      <c r="G206" s="8">
        <v>4454</v>
      </c>
      <c r="H206" s="8">
        <v>4779</v>
      </c>
      <c r="I206" s="8">
        <v>3354</v>
      </c>
      <c r="J206" s="8">
        <v>3183</v>
      </c>
      <c r="K206" s="8">
        <v>2165</v>
      </c>
      <c r="L206" s="8">
        <v>1298</v>
      </c>
      <c r="M206" s="8">
        <v>1753</v>
      </c>
      <c r="N206" s="8">
        <v>2050</v>
      </c>
      <c r="O206" s="8">
        <v>3137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</row>
    <row r="207" spans="2:20" s="7" customFormat="1" x14ac:dyDescent="0.2">
      <c r="C207" t="s">
        <v>146</v>
      </c>
      <c r="F207" s="9">
        <f>F206/31</f>
        <v>145.70967741935485</v>
      </c>
      <c r="G207" s="9">
        <f>G206/29</f>
        <v>153.58620689655172</v>
      </c>
      <c r="H207" s="9">
        <f>H206/31</f>
        <v>154.16129032258064</v>
      </c>
      <c r="I207" s="9">
        <f>I206/30</f>
        <v>111.8</v>
      </c>
      <c r="J207" s="9">
        <f>J206/31</f>
        <v>102.6774193548387</v>
      </c>
      <c r="K207" s="9">
        <f>K206/30</f>
        <v>72.166666666666671</v>
      </c>
      <c r="L207" s="9">
        <f>L206/31</f>
        <v>41.87096774193548</v>
      </c>
      <c r="M207" s="9">
        <f>M206/31</f>
        <v>56.548387096774192</v>
      </c>
      <c r="N207" s="9">
        <f>N206/30</f>
        <v>68.333333333333329</v>
      </c>
      <c r="O207" s="9">
        <f>O206/31</f>
        <v>101.19354838709677</v>
      </c>
      <c r="P207" s="9">
        <f>P206/30</f>
        <v>0</v>
      </c>
      <c r="Q207" s="9">
        <f>Q206/31</f>
        <v>0</v>
      </c>
      <c r="R207" s="9">
        <f>R206/31</f>
        <v>0</v>
      </c>
      <c r="S207" s="9">
        <f>S206/28</f>
        <v>0</v>
      </c>
      <c r="T207" s="9">
        <f>T206/31</f>
        <v>0</v>
      </c>
    </row>
    <row r="208" spans="2:20" x14ac:dyDescent="0.2">
      <c r="C208" t="s">
        <v>116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</row>
    <row r="209" spans="2:54" x14ac:dyDescent="0.2">
      <c r="C209" t="s">
        <v>147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</row>
    <row r="210" spans="2:54" x14ac:dyDescent="0.2">
      <c r="C210" t="s">
        <v>116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</row>
    <row r="211" spans="2:54" x14ac:dyDescent="0.2">
      <c r="C211" t="s">
        <v>5</v>
      </c>
      <c r="F211" s="5" t="s">
        <v>98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2:54" x14ac:dyDescent="0.2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2:54" x14ac:dyDescent="0.2">
      <c r="B213" s="3" t="s">
        <v>25</v>
      </c>
      <c r="C213" s="3" t="s">
        <v>27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2:54" x14ac:dyDescent="0.2">
      <c r="D214" t="s">
        <v>123</v>
      </c>
      <c r="F214" s="5">
        <f>$F$17+$F$18</f>
        <v>0.22750000000000001</v>
      </c>
      <c r="G214" s="5">
        <f>$G$17+$G$18</f>
        <v>0.22750000000000001</v>
      </c>
      <c r="H214" s="5">
        <f>$H$17+$H$18</f>
        <v>0.19750000000000001</v>
      </c>
      <c r="I214" s="5">
        <f>$I$17+$I$18</f>
        <v>0.1575</v>
      </c>
      <c r="J214" s="5">
        <f>$J$17+$J$18</f>
        <v>0.11749999999999999</v>
      </c>
      <c r="K214" s="5">
        <f>$K$17+$K$18</f>
        <v>0.11749999999999999</v>
      </c>
      <c r="L214" s="5">
        <f>$L$17+$L$18</f>
        <v>0.11749999999999999</v>
      </c>
      <c r="M214" s="5">
        <f>$M$17+$M$18</f>
        <v>0.11749999999999999</v>
      </c>
      <c r="N214" s="5">
        <f>$N$17+$N$18</f>
        <v>0.11749999999999999</v>
      </c>
      <c r="O214" s="5">
        <f>$O$17+$O$18</f>
        <v>0.1575</v>
      </c>
      <c r="P214" s="5">
        <f>$P$17+$P$18</f>
        <v>0.20250000000000001</v>
      </c>
      <c r="Q214" s="5">
        <f>$Q$17+$Q$18</f>
        <v>0.21250000000000002</v>
      </c>
      <c r="R214" s="5">
        <f>$R$17+$R$18</f>
        <v>0.23250000000000001</v>
      </c>
      <c r="S214" s="5">
        <f>$S$17+$S$18</f>
        <v>0.23250000000000001</v>
      </c>
      <c r="T214" s="5">
        <f>$T$17+$T$18</f>
        <v>0.20250000000000001</v>
      </c>
    </row>
    <row r="215" spans="2:54" x14ac:dyDescent="0.2">
      <c r="D215" t="s">
        <v>124</v>
      </c>
      <c r="F215" s="5">
        <f>$F$17+$F$18</f>
        <v>0.22750000000000001</v>
      </c>
      <c r="G215" s="5">
        <f>$G$17+$G$18</f>
        <v>0.22750000000000001</v>
      </c>
      <c r="H215" s="5">
        <f>$H$17+$H$18</f>
        <v>0.19750000000000001</v>
      </c>
      <c r="I215" s="5">
        <f>$I$17+$I$18</f>
        <v>0.1575</v>
      </c>
      <c r="J215" s="5">
        <f>$J$17+$J$18</f>
        <v>0.11749999999999999</v>
      </c>
      <c r="K215" s="5">
        <f>$K$17+$K$18</f>
        <v>0.11749999999999999</v>
      </c>
      <c r="L215" s="5">
        <f>$L$17+$L$18</f>
        <v>0.11749999999999999</v>
      </c>
      <c r="M215" s="5">
        <f>$M$17+$M$18</f>
        <v>0.11749999999999999</v>
      </c>
      <c r="N215" s="5">
        <f>$N$17+$N$18</f>
        <v>0.11749999999999999</v>
      </c>
      <c r="O215" s="5">
        <f>$O$17+$O$18</f>
        <v>0.1575</v>
      </c>
      <c r="P215" s="5">
        <f>$P$17+$P$18</f>
        <v>0.20250000000000001</v>
      </c>
      <c r="Q215" s="5">
        <f>$Q$17+$Q$18</f>
        <v>0.21250000000000002</v>
      </c>
      <c r="R215" s="5">
        <f>$R$17+$R$18</f>
        <v>0.23250000000000001</v>
      </c>
      <c r="S215" s="5">
        <f>$S$17+$S$18</f>
        <v>0.23250000000000001</v>
      </c>
      <c r="T215" s="5">
        <f>$T$17+$T$18</f>
        <v>0.20250000000000001</v>
      </c>
    </row>
    <row r="216" spans="2:54" x14ac:dyDescent="0.2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</row>
    <row r="217" spans="2:54" hidden="1" x14ac:dyDescent="0.2">
      <c r="C217" t="s">
        <v>146</v>
      </c>
      <c r="F217" s="10">
        <v>44543</v>
      </c>
      <c r="G217" s="10">
        <v>38481</v>
      </c>
      <c r="H217" s="10">
        <v>35650</v>
      </c>
      <c r="I217" s="10">
        <v>32650</v>
      </c>
      <c r="J217" s="10">
        <v>21505</v>
      </c>
      <c r="K217" s="10">
        <v>17059</v>
      </c>
      <c r="L217" s="10">
        <v>16152</v>
      </c>
      <c r="M217" s="10">
        <v>12865</v>
      </c>
      <c r="N217" s="10">
        <v>12360</v>
      </c>
      <c r="O217" s="10">
        <v>4525</v>
      </c>
      <c r="P217" s="10">
        <v>3734</v>
      </c>
      <c r="Q217" s="6">
        <v>0</v>
      </c>
      <c r="R217" s="6">
        <v>0</v>
      </c>
      <c r="S217" s="6">
        <v>0</v>
      </c>
      <c r="T217" s="6">
        <v>0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</row>
    <row r="218" spans="2:54" s="7" customFormat="1" x14ac:dyDescent="0.2">
      <c r="C218" t="s">
        <v>146</v>
      </c>
      <c r="F218" s="10">
        <f>F217/31</f>
        <v>1436.8709677419354</v>
      </c>
      <c r="G218" s="10">
        <f>G217/29</f>
        <v>1326.9310344827586</v>
      </c>
      <c r="H218" s="10">
        <f>H217/31</f>
        <v>1150</v>
      </c>
      <c r="I218" s="10">
        <f>I217/30</f>
        <v>1088.3333333333333</v>
      </c>
      <c r="J218" s="10">
        <f>J217/31</f>
        <v>693.70967741935488</v>
      </c>
      <c r="K218" s="10">
        <f>K217/30</f>
        <v>568.63333333333333</v>
      </c>
      <c r="L218" s="10">
        <f>L217/31</f>
        <v>521.0322580645161</v>
      </c>
      <c r="M218" s="10">
        <f>M217/31</f>
        <v>415</v>
      </c>
      <c r="N218" s="10">
        <f>N217/30</f>
        <v>412</v>
      </c>
      <c r="O218" s="10">
        <f>O217/31</f>
        <v>145.96774193548387</v>
      </c>
      <c r="P218" s="10">
        <f>P217/30</f>
        <v>124.46666666666667</v>
      </c>
      <c r="Q218" s="10">
        <f>Q217/31</f>
        <v>0</v>
      </c>
      <c r="R218" s="10">
        <f>R217/31</f>
        <v>0</v>
      </c>
      <c r="S218" s="10">
        <f>S217/28</f>
        <v>0</v>
      </c>
      <c r="T218" s="10">
        <f>T217/31</f>
        <v>0</v>
      </c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</row>
    <row r="219" spans="2:54" x14ac:dyDescent="0.2">
      <c r="C219" t="s">
        <v>116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</row>
    <row r="220" spans="2:54" x14ac:dyDescent="0.2">
      <c r="C220" t="s">
        <v>147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</row>
    <row r="221" spans="2:54" x14ac:dyDescent="0.2">
      <c r="C221" t="s">
        <v>116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</row>
    <row r="222" spans="2:54" x14ac:dyDescent="0.2">
      <c r="C222" t="s">
        <v>5</v>
      </c>
      <c r="F222" s="5" t="s">
        <v>99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2:54" x14ac:dyDescent="0.2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2:54" x14ac:dyDescent="0.2">
      <c r="B224" s="3" t="s">
        <v>25</v>
      </c>
      <c r="C224" s="3" t="s">
        <v>28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2:20" x14ac:dyDescent="0.2">
      <c r="D225" t="s">
        <v>123</v>
      </c>
      <c r="F225" s="5">
        <f>$F$17+$F$18</f>
        <v>0.22750000000000001</v>
      </c>
      <c r="G225" s="5">
        <f>$G$17+$G$18</f>
        <v>0.22750000000000001</v>
      </c>
      <c r="H225" s="5">
        <f>$H$17+$H$18</f>
        <v>0.19750000000000001</v>
      </c>
      <c r="I225" s="5">
        <f>$I$17+$I$18</f>
        <v>0.1575</v>
      </c>
      <c r="J225" s="5">
        <f>$J$17+$J$18</f>
        <v>0.11749999999999999</v>
      </c>
      <c r="K225" s="5">
        <f>$K$17+$K$18</f>
        <v>0.11749999999999999</v>
      </c>
      <c r="L225" s="5">
        <f>$L$17+$L$18</f>
        <v>0.11749999999999999</v>
      </c>
      <c r="M225" s="5">
        <f>$M$17+$M$18</f>
        <v>0.11749999999999999</v>
      </c>
      <c r="N225" s="5">
        <f>$N$17+$N$18</f>
        <v>0.11749999999999999</v>
      </c>
      <c r="O225" s="5">
        <f>$O$17+$O$18</f>
        <v>0.1575</v>
      </c>
      <c r="P225" s="5">
        <f>$P$17+$P$18</f>
        <v>0.20250000000000001</v>
      </c>
      <c r="Q225" s="5">
        <f>$Q$17+$Q$18</f>
        <v>0.21250000000000002</v>
      </c>
      <c r="R225" s="5">
        <f>$R$17+$R$18</f>
        <v>0.23250000000000001</v>
      </c>
      <c r="S225" s="5">
        <f>$S$17+$S$18</f>
        <v>0.23250000000000001</v>
      </c>
      <c r="T225" s="5">
        <f>$T$17+$T$18</f>
        <v>0.20250000000000001</v>
      </c>
    </row>
    <row r="226" spans="2:20" x14ac:dyDescent="0.2">
      <c r="D226" t="s">
        <v>124</v>
      </c>
      <c r="F226" s="5">
        <f>$F$17+$F$18</f>
        <v>0.22750000000000001</v>
      </c>
      <c r="G226" s="5">
        <f>$G$17+$G$18</f>
        <v>0.22750000000000001</v>
      </c>
      <c r="H226" s="5">
        <f>$H$17+$H$18</f>
        <v>0.19750000000000001</v>
      </c>
      <c r="I226" s="5">
        <f>$I$17+$I$18</f>
        <v>0.1575</v>
      </c>
      <c r="J226" s="5">
        <f>$J$17+$J$18</f>
        <v>0.11749999999999999</v>
      </c>
      <c r="K226" s="5">
        <f>$K$17+$K$18</f>
        <v>0.11749999999999999</v>
      </c>
      <c r="L226" s="5">
        <f>$L$17+$L$18</f>
        <v>0.11749999999999999</v>
      </c>
      <c r="M226" s="5">
        <f>$M$17+$M$18</f>
        <v>0.11749999999999999</v>
      </c>
      <c r="N226" s="5">
        <f>$N$17+$N$18</f>
        <v>0.11749999999999999</v>
      </c>
      <c r="O226" s="5">
        <f>$O$17+$O$18</f>
        <v>0.1575</v>
      </c>
      <c r="P226" s="5">
        <f>$P$17+$P$18</f>
        <v>0.20250000000000001</v>
      </c>
      <c r="Q226" s="5">
        <f>$Q$17+$Q$18</f>
        <v>0.21250000000000002</v>
      </c>
      <c r="R226" s="5">
        <f>$R$17+$R$18</f>
        <v>0.23250000000000001</v>
      </c>
      <c r="S226" s="5">
        <f>$S$17+$S$18</f>
        <v>0.23250000000000001</v>
      </c>
      <c r="T226" s="5">
        <f>$T$17+$T$18</f>
        <v>0.20250000000000001</v>
      </c>
    </row>
    <row r="227" spans="2:20" x14ac:dyDescent="0.2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2:20" x14ac:dyDescent="0.2">
      <c r="C228" t="s">
        <v>146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</row>
    <row r="229" spans="2:20" x14ac:dyDescent="0.2">
      <c r="C229" t="s">
        <v>116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</row>
    <row r="230" spans="2:20" x14ac:dyDescent="0.2">
      <c r="C230" t="s">
        <v>147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</row>
    <row r="231" spans="2:20" x14ac:dyDescent="0.2">
      <c r="C231" t="s">
        <v>116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</row>
    <row r="232" spans="2:20" x14ac:dyDescent="0.2">
      <c r="C232" t="s">
        <v>5</v>
      </c>
      <c r="F232" s="5" t="s">
        <v>99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2:20" x14ac:dyDescent="0.2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2:20" x14ac:dyDescent="0.2">
      <c r="B234" s="3" t="s">
        <v>25</v>
      </c>
      <c r="C234" s="3" t="s">
        <v>29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2:20" x14ac:dyDescent="0.2">
      <c r="D235" t="s">
        <v>123</v>
      </c>
      <c r="F235" s="5">
        <f>$F$17+$F$18</f>
        <v>0.22750000000000001</v>
      </c>
      <c r="G235" s="5">
        <f>$G$17+$G$18</f>
        <v>0.22750000000000001</v>
      </c>
      <c r="H235" s="5">
        <f>$H$17+$H$18</f>
        <v>0.19750000000000001</v>
      </c>
      <c r="I235" s="5">
        <f>$I$17+$I$18</f>
        <v>0.1575</v>
      </c>
      <c r="J235" s="5">
        <f>$J$17+$J$18</f>
        <v>0.11749999999999999</v>
      </c>
      <c r="K235" s="5">
        <f>$K$17+$K$18</f>
        <v>0.11749999999999999</v>
      </c>
      <c r="L235" s="5">
        <f>$L$17+$L$18</f>
        <v>0.11749999999999999</v>
      </c>
      <c r="M235" s="5">
        <f>$M$17+$M$18</f>
        <v>0.11749999999999999</v>
      </c>
      <c r="N235" s="5">
        <f>$N$17+$N$18</f>
        <v>0.11749999999999999</v>
      </c>
      <c r="O235" s="5">
        <f>$O$17+$O$18</f>
        <v>0.1575</v>
      </c>
      <c r="P235" s="5">
        <f>$P$17+$P$18</f>
        <v>0.20250000000000001</v>
      </c>
      <c r="Q235" s="5">
        <f>$Q$17+$Q$18</f>
        <v>0.21250000000000002</v>
      </c>
      <c r="R235" s="5">
        <f>$R$17+$R$18</f>
        <v>0.23250000000000001</v>
      </c>
      <c r="S235" s="5">
        <f>$S$17+$S$18</f>
        <v>0.23250000000000001</v>
      </c>
      <c r="T235" s="5">
        <f>$T$17+$T$18</f>
        <v>0.20250000000000001</v>
      </c>
    </row>
    <row r="236" spans="2:20" x14ac:dyDescent="0.2">
      <c r="D236" t="s">
        <v>124</v>
      </c>
      <c r="F236" s="5">
        <f>$F$17+$F$18</f>
        <v>0.22750000000000001</v>
      </c>
      <c r="G236" s="5">
        <f>$G$17+$G$18</f>
        <v>0.22750000000000001</v>
      </c>
      <c r="H236" s="5">
        <f>$H$17+$H$18</f>
        <v>0.19750000000000001</v>
      </c>
      <c r="I236" s="5">
        <f>$I$17+$I$18</f>
        <v>0.1575</v>
      </c>
      <c r="J236" s="5">
        <f>$J$17+$J$18</f>
        <v>0.11749999999999999</v>
      </c>
      <c r="K236" s="5">
        <f>$K$17+$K$18</f>
        <v>0.11749999999999999</v>
      </c>
      <c r="L236" s="5">
        <f>$L$17+$L$18</f>
        <v>0.11749999999999999</v>
      </c>
      <c r="M236" s="5">
        <f>$M$17+$M$18</f>
        <v>0.11749999999999999</v>
      </c>
      <c r="N236" s="5">
        <f>$N$17+$N$18</f>
        <v>0.11749999999999999</v>
      </c>
      <c r="O236" s="5">
        <f>$O$17+$O$18</f>
        <v>0.1575</v>
      </c>
      <c r="P236" s="5">
        <f>$P$17+$P$18</f>
        <v>0.20250000000000001</v>
      </c>
      <c r="Q236" s="5">
        <f>$Q$17+$Q$18</f>
        <v>0.21250000000000002</v>
      </c>
      <c r="R236" s="5">
        <f>$R$17+$R$18</f>
        <v>0.23250000000000001</v>
      </c>
      <c r="S236" s="5">
        <f>$S$17+$S$18</f>
        <v>0.23250000000000001</v>
      </c>
      <c r="T236" s="5">
        <f>$T$17+$T$18</f>
        <v>0.20250000000000001</v>
      </c>
    </row>
    <row r="237" spans="2:20" x14ac:dyDescent="0.2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2">
      <c r="C238" t="s">
        <v>146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</row>
    <row r="239" spans="2:20" x14ac:dyDescent="0.2">
      <c r="C239" t="s">
        <v>116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</row>
    <row r="240" spans="2:20" x14ac:dyDescent="0.2">
      <c r="C240" t="s">
        <v>147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</row>
    <row r="241" spans="2:24" x14ac:dyDescent="0.2">
      <c r="C241" t="s">
        <v>116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</row>
    <row r="242" spans="2:24" x14ac:dyDescent="0.2">
      <c r="C242" t="s">
        <v>5</v>
      </c>
      <c r="F242" s="5" t="s">
        <v>99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2:24" x14ac:dyDescent="0.2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2:24" x14ac:dyDescent="0.2">
      <c r="B244" s="3" t="s">
        <v>30</v>
      </c>
      <c r="C244" s="3" t="s">
        <v>31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2:24" x14ac:dyDescent="0.2">
      <c r="D245" t="s">
        <v>123</v>
      </c>
      <c r="F245" s="5">
        <f>$F$17+$F$18</f>
        <v>0.22750000000000001</v>
      </c>
      <c r="G245" s="5">
        <f>$G$17+$G$18</f>
        <v>0.22750000000000001</v>
      </c>
      <c r="H245" s="5">
        <f>$H$17+$H$18</f>
        <v>0.19750000000000001</v>
      </c>
      <c r="I245" s="5">
        <f>$I$17+$I$18</f>
        <v>0.1575</v>
      </c>
      <c r="J245" s="5">
        <f>$J$17+$J$18</f>
        <v>0.11749999999999999</v>
      </c>
      <c r="K245" s="5">
        <f>$K$17+$K$18</f>
        <v>0.11749999999999999</v>
      </c>
      <c r="L245" s="5">
        <f>$L$17+$L$18</f>
        <v>0.11749999999999999</v>
      </c>
      <c r="M245" s="5">
        <f>$M$17+$M$18</f>
        <v>0.11749999999999999</v>
      </c>
      <c r="N245" s="5">
        <f>$N$17+$N$18</f>
        <v>0.11749999999999999</v>
      </c>
      <c r="O245" s="5">
        <f>$O$17+$O$18</f>
        <v>0.1575</v>
      </c>
      <c r="P245" s="5">
        <f>$P$17+$P$18</f>
        <v>0.20250000000000001</v>
      </c>
      <c r="Q245" s="5">
        <f>$Q$17+$Q$18</f>
        <v>0.21250000000000002</v>
      </c>
      <c r="R245" s="5">
        <f>$R$17+$R$18</f>
        <v>0.23250000000000001</v>
      </c>
      <c r="S245" s="5">
        <f>$S$17+$S$18</f>
        <v>0.23250000000000001</v>
      </c>
      <c r="T245" s="5">
        <f>$T$17+$T$18</f>
        <v>0.20250000000000001</v>
      </c>
    </row>
    <row r="246" spans="2:24" x14ac:dyDescent="0.2">
      <c r="D246" t="s">
        <v>124</v>
      </c>
      <c r="F246" s="5">
        <f>$F$17+$F$18</f>
        <v>0.22750000000000001</v>
      </c>
      <c r="G246" s="5">
        <f>$G$17+$G$18</f>
        <v>0.22750000000000001</v>
      </c>
      <c r="H246" s="5">
        <f>$H$17+$H$18</f>
        <v>0.19750000000000001</v>
      </c>
      <c r="I246" s="5">
        <f>$I$17+$I$18</f>
        <v>0.1575</v>
      </c>
      <c r="J246" s="5">
        <f>$J$17+$J$18</f>
        <v>0.11749999999999999</v>
      </c>
      <c r="K246" s="5">
        <f>$K$17+$K$18</f>
        <v>0.11749999999999999</v>
      </c>
      <c r="L246" s="5">
        <f>$L$17+$L$18</f>
        <v>0.11749999999999999</v>
      </c>
      <c r="M246" s="5">
        <f>$M$17+$M$18</f>
        <v>0.11749999999999999</v>
      </c>
      <c r="N246" s="5">
        <f>$N$17+$N$18</f>
        <v>0.11749999999999999</v>
      </c>
      <c r="O246" s="5">
        <f>$O$17+$O$18</f>
        <v>0.1575</v>
      </c>
      <c r="P246" s="5">
        <f>$P$17+$P$18</f>
        <v>0.20250000000000001</v>
      </c>
      <c r="Q246" s="5">
        <f>$Q$17+$Q$18</f>
        <v>0.21250000000000002</v>
      </c>
      <c r="R246" s="5">
        <f>$R$17+$R$18</f>
        <v>0.23250000000000001</v>
      </c>
      <c r="S246" s="5">
        <f>$S$17+$S$18</f>
        <v>0.23250000000000001</v>
      </c>
      <c r="T246" s="5">
        <f>$T$17+$T$18</f>
        <v>0.20250000000000001</v>
      </c>
    </row>
    <row r="247" spans="2:24" x14ac:dyDescent="0.2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idden="1" x14ac:dyDescent="0.2">
      <c r="C248" t="s">
        <v>146</v>
      </c>
      <c r="F248" s="10">
        <f>933695+110000+1227</f>
        <v>1044922</v>
      </c>
      <c r="G248" s="10">
        <f>851060+50000+1485</f>
        <v>902545</v>
      </c>
      <c r="H248" s="10">
        <f>714231+1813</f>
        <v>716044</v>
      </c>
      <c r="I248" s="10">
        <f>83209+1808</f>
        <v>85017</v>
      </c>
      <c r="J248" s="10">
        <f>62009+2313</f>
        <v>64322</v>
      </c>
      <c r="K248" s="10">
        <f>41414+2505</f>
        <v>43919</v>
      </c>
      <c r="L248" s="10">
        <f>37153+2033</f>
        <v>39186</v>
      </c>
      <c r="M248" s="10">
        <f>36147+2327</f>
        <v>38474</v>
      </c>
      <c r="N248" s="10">
        <f>38788+1777</f>
        <v>40565</v>
      </c>
      <c r="O248" s="10">
        <f>49564+1760</f>
        <v>51324</v>
      </c>
      <c r="P248" s="10">
        <f>62257+1273</f>
        <v>63530</v>
      </c>
      <c r="Q248" s="10">
        <f>65314+1465</f>
        <v>66779</v>
      </c>
      <c r="R248" s="10">
        <v>50186</v>
      </c>
      <c r="S248" s="10">
        <v>44952</v>
      </c>
      <c r="T248" s="10">
        <v>27317</v>
      </c>
      <c r="U248" s="6"/>
      <c r="V248" s="6"/>
      <c r="W248" s="6"/>
      <c r="X248" s="6"/>
    </row>
    <row r="249" spans="2:24" s="7" customFormat="1" x14ac:dyDescent="0.2">
      <c r="C249" t="s">
        <v>146</v>
      </c>
      <c r="F249" s="10">
        <f>F248/31</f>
        <v>33707.161290322583</v>
      </c>
      <c r="G249" s="10">
        <f>G248/29</f>
        <v>31122.241379310344</v>
      </c>
      <c r="H249" s="10">
        <f>H248/31</f>
        <v>23098.193548387098</v>
      </c>
      <c r="I249" s="10">
        <f>I248/30</f>
        <v>2833.9</v>
      </c>
      <c r="J249" s="10">
        <f>J248/31</f>
        <v>2074.9032258064517</v>
      </c>
      <c r="K249" s="10">
        <f>K248/30</f>
        <v>1463.9666666666667</v>
      </c>
      <c r="L249" s="10">
        <f>L248/31</f>
        <v>1264.0645161290322</v>
      </c>
      <c r="M249" s="10">
        <f>M248/31</f>
        <v>1241.0967741935483</v>
      </c>
      <c r="N249" s="10">
        <f>N248/30</f>
        <v>1352.1666666666667</v>
      </c>
      <c r="O249" s="10">
        <f>O248/31</f>
        <v>1655.6129032258063</v>
      </c>
      <c r="P249" s="10">
        <f>P248/30</f>
        <v>2117.6666666666665</v>
      </c>
      <c r="Q249" s="10">
        <f>Q248/31</f>
        <v>2154.1612903225805</v>
      </c>
      <c r="R249" s="10">
        <f>R248/31</f>
        <v>1618.9032258064517</v>
      </c>
      <c r="S249" s="10">
        <f>S248/28</f>
        <v>1605.4285714285713</v>
      </c>
      <c r="T249" s="10">
        <f>T248/31</f>
        <v>881.19354838709683</v>
      </c>
      <c r="U249" s="6"/>
      <c r="V249" s="6"/>
      <c r="W249" s="6"/>
      <c r="X249" s="6"/>
    </row>
    <row r="250" spans="2:24" x14ac:dyDescent="0.2">
      <c r="C250" t="s">
        <v>157</v>
      </c>
      <c r="F250" s="6">
        <v>2200</v>
      </c>
      <c r="G250" s="6">
        <v>2200</v>
      </c>
      <c r="H250" s="6">
        <v>2200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/>
      <c r="V250" s="6"/>
      <c r="W250" s="6"/>
      <c r="X250" s="6"/>
    </row>
    <row r="251" spans="2:24" hidden="1" x14ac:dyDescent="0.2">
      <c r="C251" t="s">
        <v>147</v>
      </c>
      <c r="F251" s="10">
        <v>839929</v>
      </c>
      <c r="G251" s="10">
        <v>734352</v>
      </c>
      <c r="H251" s="10">
        <v>572126</v>
      </c>
      <c r="I251" s="10">
        <v>352049</v>
      </c>
      <c r="J251" s="10">
        <v>174497</v>
      </c>
      <c r="K251" s="10">
        <v>86583</v>
      </c>
      <c r="L251" s="10">
        <v>81457</v>
      </c>
      <c r="M251" s="10">
        <v>82183</v>
      </c>
      <c r="N251" s="10">
        <v>104049</v>
      </c>
      <c r="O251" s="10">
        <v>171683</v>
      </c>
      <c r="P251" s="10">
        <v>188654</v>
      </c>
      <c r="Q251" s="10">
        <v>254229</v>
      </c>
      <c r="R251" s="10">
        <v>115944</v>
      </c>
      <c r="S251" s="10">
        <v>50912</v>
      </c>
      <c r="T251" s="10">
        <v>22473</v>
      </c>
      <c r="U251" s="6"/>
      <c r="V251" s="6"/>
      <c r="W251" s="6"/>
      <c r="X251" s="6"/>
    </row>
    <row r="252" spans="2:24" s="7" customFormat="1" x14ac:dyDescent="0.2">
      <c r="C252" t="s">
        <v>147</v>
      </c>
      <c r="F252" s="10">
        <f>F251/31</f>
        <v>27094.483870967742</v>
      </c>
      <c r="G252" s="10">
        <v>26082</v>
      </c>
      <c r="H252" s="10">
        <f>H251/31</f>
        <v>18455.677419354837</v>
      </c>
      <c r="I252" s="10">
        <f>I251/30</f>
        <v>11734.966666666667</v>
      </c>
      <c r="J252" s="10">
        <f>J251/31</f>
        <v>5628.9354838709678</v>
      </c>
      <c r="K252" s="10">
        <f>K251/30</f>
        <v>2886.1</v>
      </c>
      <c r="L252" s="10">
        <f>L251/31</f>
        <v>2627.6451612903224</v>
      </c>
      <c r="M252" s="10">
        <f>M251/31</f>
        <v>2651.0645161290322</v>
      </c>
      <c r="N252" s="10">
        <f>N251/30</f>
        <v>3468.3</v>
      </c>
      <c r="O252" s="10">
        <f>O251/31</f>
        <v>5538.1612903225805</v>
      </c>
      <c r="P252" s="10">
        <f>P251/30</f>
        <v>6288.4666666666662</v>
      </c>
      <c r="Q252" s="10">
        <f>Q251/31</f>
        <v>8200.9354838709678</v>
      </c>
      <c r="R252" s="10">
        <f>R251/31</f>
        <v>3740.1290322580644</v>
      </c>
      <c r="S252" s="10">
        <f>S251/28</f>
        <v>1818.2857142857142</v>
      </c>
      <c r="T252" s="10">
        <f>T251/31</f>
        <v>724.93548387096769</v>
      </c>
      <c r="U252" s="6"/>
      <c r="V252" s="6"/>
      <c r="W252" s="6"/>
      <c r="X252" s="6"/>
    </row>
    <row r="253" spans="2:24" x14ac:dyDescent="0.2">
      <c r="C253" t="s">
        <v>116</v>
      </c>
      <c r="F253" s="6">
        <v>37364</v>
      </c>
      <c r="G253" s="6">
        <v>37364</v>
      </c>
      <c r="H253" s="6">
        <v>37364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/>
      <c r="V253" s="6"/>
      <c r="W253" s="6"/>
      <c r="X253" s="6"/>
    </row>
    <row r="254" spans="2:24" x14ac:dyDescent="0.2">
      <c r="C254" t="s">
        <v>5</v>
      </c>
      <c r="F254" s="5" t="s">
        <v>100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2:24" x14ac:dyDescent="0.2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2:24" x14ac:dyDescent="0.2">
      <c r="B256" s="3" t="s">
        <v>30</v>
      </c>
      <c r="C256" s="3" t="s">
        <v>32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2:60" x14ac:dyDescent="0.2">
      <c r="D257" t="s">
        <v>123</v>
      </c>
      <c r="F257" s="5">
        <f>$F$17+$F$18</f>
        <v>0.22750000000000001</v>
      </c>
      <c r="G257" s="5">
        <f>$G$17+$G$18</f>
        <v>0.22750000000000001</v>
      </c>
      <c r="H257" s="5">
        <f>$H$17+$H$18</f>
        <v>0.19750000000000001</v>
      </c>
      <c r="I257" s="5">
        <f>$I$17+$I$18</f>
        <v>0.1575</v>
      </c>
      <c r="J257" s="5">
        <f>$J$17+$J$18</f>
        <v>0.11749999999999999</v>
      </c>
      <c r="K257" s="5">
        <f>$K$17+$K$18</f>
        <v>0.11749999999999999</v>
      </c>
      <c r="L257" s="5">
        <f>$L$17+$L$18</f>
        <v>0.11749999999999999</v>
      </c>
      <c r="M257" s="5">
        <f>$M$17+$M$18</f>
        <v>0.11749999999999999</v>
      </c>
      <c r="N257" s="5">
        <f>$N$17+$N$18</f>
        <v>0.11749999999999999</v>
      </c>
      <c r="O257" s="5">
        <f>$O$17+$O$18</f>
        <v>0.1575</v>
      </c>
      <c r="P257" s="5">
        <f>$P$17+$P$18</f>
        <v>0.20250000000000001</v>
      </c>
      <c r="Q257" s="5">
        <f>$Q$17+$Q$18</f>
        <v>0.21250000000000002</v>
      </c>
      <c r="R257" s="5">
        <f>$R$17+$R$18</f>
        <v>0.23250000000000001</v>
      </c>
      <c r="S257" s="5">
        <f>$S$17+$S$18</f>
        <v>0.23250000000000001</v>
      </c>
      <c r="T257" s="5">
        <f>$T$17+$T$18</f>
        <v>0.20250000000000001</v>
      </c>
    </row>
    <row r="258" spans="2:60" x14ac:dyDescent="0.2">
      <c r="D258" t="s">
        <v>124</v>
      </c>
      <c r="F258" s="5">
        <f>$F$17+$F$18</f>
        <v>0.22750000000000001</v>
      </c>
      <c r="G258" s="5">
        <f>$G$17+$G$18</f>
        <v>0.22750000000000001</v>
      </c>
      <c r="H258" s="5">
        <f>$H$17+$H$18</f>
        <v>0.19750000000000001</v>
      </c>
      <c r="I258" s="5">
        <f>$I$17+$I$18</f>
        <v>0.1575</v>
      </c>
      <c r="J258" s="5">
        <f>$J$17+$J$18</f>
        <v>0.11749999999999999</v>
      </c>
      <c r="K258" s="5">
        <f>$K$17+$K$18</f>
        <v>0.11749999999999999</v>
      </c>
      <c r="L258" s="5">
        <f>$L$17+$L$18</f>
        <v>0.11749999999999999</v>
      </c>
      <c r="M258" s="5">
        <f>$M$17+$M$18</f>
        <v>0.11749999999999999</v>
      </c>
      <c r="N258" s="5">
        <f>$N$17+$N$18</f>
        <v>0.11749999999999999</v>
      </c>
      <c r="O258" s="5">
        <f>$O$17+$O$18</f>
        <v>0.1575</v>
      </c>
      <c r="P258" s="5">
        <f>$P$17+$P$18</f>
        <v>0.20250000000000001</v>
      </c>
      <c r="Q258" s="5">
        <f>$Q$17+$Q$18</f>
        <v>0.21250000000000002</v>
      </c>
      <c r="R258" s="5">
        <f>$R$17+$R$18</f>
        <v>0.23250000000000001</v>
      </c>
      <c r="S258" s="5">
        <f>$S$17+$S$18</f>
        <v>0.23250000000000001</v>
      </c>
      <c r="T258" s="5">
        <f>$T$17+$T$18</f>
        <v>0.20250000000000001</v>
      </c>
    </row>
    <row r="259" spans="2:60" x14ac:dyDescent="0.2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2:60" hidden="1" x14ac:dyDescent="0.2">
      <c r="C260" t="s">
        <v>146</v>
      </c>
      <c r="F260" s="10">
        <f>151828+7408</f>
        <v>159236</v>
      </c>
      <c r="G260" s="10">
        <f>132071+5480</f>
        <v>137551</v>
      </c>
      <c r="H260" s="10">
        <f>107860+5354</f>
        <v>113214</v>
      </c>
      <c r="I260" s="10">
        <f>20516+3040</f>
        <v>23556</v>
      </c>
      <c r="J260" s="10">
        <f>19033+1988</f>
        <v>21021</v>
      </c>
      <c r="K260" s="10">
        <f>2364+769</f>
        <v>3133</v>
      </c>
      <c r="L260" s="10">
        <f>2190+232</f>
        <v>2422</v>
      </c>
      <c r="M260" s="10">
        <f>2133+223</f>
        <v>2356</v>
      </c>
      <c r="N260" s="10">
        <f>2132+185</f>
        <v>2317</v>
      </c>
      <c r="O260" s="10">
        <f>3033+353</f>
        <v>3386</v>
      </c>
      <c r="P260" s="10">
        <f>1944+953</f>
        <v>2897</v>
      </c>
      <c r="Q260" s="10">
        <f>595+1218</f>
        <v>1813</v>
      </c>
      <c r="R260" s="10">
        <f>862+2374</f>
        <v>3236</v>
      </c>
      <c r="S260" s="10">
        <f>551+1898</f>
        <v>2449</v>
      </c>
      <c r="T260" s="10">
        <f>38+1625</f>
        <v>1663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2:60" s="7" customFormat="1" x14ac:dyDescent="0.2">
      <c r="C261" t="s">
        <v>146</v>
      </c>
      <c r="F261" s="10">
        <f>F260/31</f>
        <v>5136.6451612903229</v>
      </c>
      <c r="G261" s="10">
        <f>G260/29</f>
        <v>4743.1379310344828</v>
      </c>
      <c r="H261" s="10">
        <f>H260/31</f>
        <v>3652.0645161290322</v>
      </c>
      <c r="I261" s="10">
        <f>I260/30</f>
        <v>785.2</v>
      </c>
      <c r="J261" s="10">
        <f>J260/31</f>
        <v>678.09677419354841</v>
      </c>
      <c r="K261" s="10">
        <f>K260/30</f>
        <v>104.43333333333334</v>
      </c>
      <c r="L261" s="10">
        <f>L260/31</f>
        <v>78.129032258064512</v>
      </c>
      <c r="M261" s="10">
        <f>M260/31</f>
        <v>76</v>
      </c>
      <c r="N261" s="10">
        <f>N260/30</f>
        <v>77.233333333333334</v>
      </c>
      <c r="O261" s="10">
        <f>O260/31</f>
        <v>109.2258064516129</v>
      </c>
      <c r="P261" s="10">
        <f>P260/30</f>
        <v>96.566666666666663</v>
      </c>
      <c r="Q261" s="10">
        <f>Q260/31</f>
        <v>58.483870967741936</v>
      </c>
      <c r="R261" s="10">
        <f>R260/31</f>
        <v>104.38709677419355</v>
      </c>
      <c r="S261" s="10">
        <f>S260/28</f>
        <v>87.464285714285708</v>
      </c>
      <c r="T261" s="10">
        <f>T260/31</f>
        <v>53.645161290322584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2:60" x14ac:dyDescent="0.2">
      <c r="C262" t="s">
        <v>116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2:60" hidden="1" x14ac:dyDescent="0.2">
      <c r="C263" t="s">
        <v>147</v>
      </c>
      <c r="F263" s="10">
        <v>124067</v>
      </c>
      <c r="G263" s="10">
        <v>108578</v>
      </c>
      <c r="H263" s="10">
        <v>84629</v>
      </c>
      <c r="I263" s="10">
        <v>52014</v>
      </c>
      <c r="J263" s="10">
        <v>25784</v>
      </c>
      <c r="K263" s="10">
        <v>12866</v>
      </c>
      <c r="L263" s="10">
        <v>12050</v>
      </c>
      <c r="M263" s="10">
        <v>12154</v>
      </c>
      <c r="N263" s="10">
        <v>15355</v>
      </c>
      <c r="O263" s="10">
        <v>25451</v>
      </c>
      <c r="P263" s="10">
        <v>28100</v>
      </c>
      <c r="Q263" s="10">
        <v>37870</v>
      </c>
      <c r="R263" s="10">
        <v>17645</v>
      </c>
      <c r="S263" s="10">
        <v>7894</v>
      </c>
      <c r="T263" s="10">
        <v>3572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2:60" s="7" customFormat="1" x14ac:dyDescent="0.2">
      <c r="C264" t="s">
        <v>147</v>
      </c>
      <c r="F264" s="10">
        <f>F263/31</f>
        <v>4002.1612903225805</v>
      </c>
      <c r="G264" s="10">
        <v>3856</v>
      </c>
      <c r="H264" s="10">
        <f>H263/31</f>
        <v>2729.9677419354839</v>
      </c>
      <c r="I264" s="10">
        <f>I263/30</f>
        <v>1733.8</v>
      </c>
      <c r="J264" s="10">
        <f>J263/31</f>
        <v>831.74193548387098</v>
      </c>
      <c r="K264" s="10">
        <f>K263/30</f>
        <v>428.86666666666667</v>
      </c>
      <c r="L264" s="10">
        <f>L263/31</f>
        <v>388.70967741935482</v>
      </c>
      <c r="M264" s="10">
        <f>M263/31</f>
        <v>392.06451612903226</v>
      </c>
      <c r="N264" s="10">
        <f>N263/30</f>
        <v>511.83333333333331</v>
      </c>
      <c r="O264" s="10">
        <f>O263/31</f>
        <v>821</v>
      </c>
      <c r="P264" s="10">
        <f>P263/30</f>
        <v>936.66666666666663</v>
      </c>
      <c r="Q264" s="10">
        <f>Q263/31</f>
        <v>1221.6129032258063</v>
      </c>
      <c r="R264" s="10">
        <f>R263/31</f>
        <v>569.19354838709683</v>
      </c>
      <c r="S264" s="10">
        <f>S263/28</f>
        <v>281.92857142857144</v>
      </c>
      <c r="T264" s="10">
        <f>T263/31</f>
        <v>115.2258064516129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2:60" x14ac:dyDescent="0.2">
      <c r="C265" t="s">
        <v>116</v>
      </c>
      <c r="F265" s="6">
        <v>5577</v>
      </c>
      <c r="G265" s="6">
        <v>5577</v>
      </c>
      <c r="H265" s="6">
        <v>5577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2:60" x14ac:dyDescent="0.2">
      <c r="C266" t="s">
        <v>5</v>
      </c>
      <c r="F266" s="5" t="s">
        <v>101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2:60" x14ac:dyDescent="0.2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2:60" x14ac:dyDescent="0.2">
      <c r="B268" s="3" t="s">
        <v>30</v>
      </c>
      <c r="C268" s="3" t="s">
        <v>33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2:60" x14ac:dyDescent="0.2">
      <c r="D269" t="s">
        <v>123</v>
      </c>
      <c r="F269" s="5">
        <f>$F$17+$F$18</f>
        <v>0.22750000000000001</v>
      </c>
      <c r="G269" s="5">
        <f>$G$17+$G$18</f>
        <v>0.22750000000000001</v>
      </c>
      <c r="H269" s="5">
        <f>$H$17+$H$18</f>
        <v>0.19750000000000001</v>
      </c>
      <c r="I269" s="5">
        <f>$I$17+$I$18</f>
        <v>0.1575</v>
      </c>
      <c r="J269" s="5">
        <f>$J$17+$J$18</f>
        <v>0.11749999999999999</v>
      </c>
      <c r="K269" s="5">
        <f>$K$17+$K$18</f>
        <v>0.11749999999999999</v>
      </c>
      <c r="L269" s="5">
        <f>$L$17+$L$18</f>
        <v>0.11749999999999999</v>
      </c>
      <c r="M269" s="5">
        <f>$M$17+$M$18</f>
        <v>0.11749999999999999</v>
      </c>
      <c r="N269" s="5">
        <f>$N$17+$N$18</f>
        <v>0.11749999999999999</v>
      </c>
      <c r="O269" s="5">
        <f>$O$17+$O$18</f>
        <v>0.1575</v>
      </c>
      <c r="P269" s="5">
        <f>$P$17+$P$18</f>
        <v>0.20250000000000001</v>
      </c>
      <c r="Q269" s="5">
        <f>$Q$17+$Q$18</f>
        <v>0.21250000000000002</v>
      </c>
      <c r="R269" s="5">
        <f>$R$17+$R$18</f>
        <v>0.23250000000000001</v>
      </c>
      <c r="S269" s="5">
        <f>$S$17+$S$18</f>
        <v>0.23250000000000001</v>
      </c>
      <c r="T269" s="5">
        <f>$T$17+$T$18</f>
        <v>0.20250000000000001</v>
      </c>
    </row>
    <row r="270" spans="2:60" x14ac:dyDescent="0.2">
      <c r="D270" t="s">
        <v>124</v>
      </c>
      <c r="F270" s="5">
        <f>$F$17+$F$18</f>
        <v>0.22750000000000001</v>
      </c>
      <c r="G270" s="5">
        <f>$G$17+$G$18</f>
        <v>0.22750000000000001</v>
      </c>
      <c r="H270" s="5">
        <f>$H$17+$H$18</f>
        <v>0.19750000000000001</v>
      </c>
      <c r="I270" s="5">
        <f>$I$17+$I$18</f>
        <v>0.1575</v>
      </c>
      <c r="J270" s="5">
        <f>$J$17+$J$18</f>
        <v>0.11749999999999999</v>
      </c>
      <c r="K270" s="5">
        <f>$K$17+$K$18</f>
        <v>0.11749999999999999</v>
      </c>
      <c r="L270" s="5">
        <f>$L$17+$L$18</f>
        <v>0.11749999999999999</v>
      </c>
      <c r="M270" s="5">
        <f>$M$17+$M$18</f>
        <v>0.11749999999999999</v>
      </c>
      <c r="N270" s="5">
        <f>$N$17+$N$18</f>
        <v>0.11749999999999999</v>
      </c>
      <c r="O270" s="5">
        <f>$O$17+$O$18</f>
        <v>0.1575</v>
      </c>
      <c r="P270" s="5">
        <f>$P$17+$P$18</f>
        <v>0.20250000000000001</v>
      </c>
      <c r="Q270" s="5">
        <f>$Q$17+$Q$18</f>
        <v>0.21250000000000002</v>
      </c>
      <c r="R270" s="5">
        <f>$R$17+$R$18</f>
        <v>0.23250000000000001</v>
      </c>
      <c r="S270" s="5">
        <f>$S$17+$S$18</f>
        <v>0.23250000000000001</v>
      </c>
      <c r="T270" s="5">
        <f>$T$17+$T$18</f>
        <v>0.20250000000000001</v>
      </c>
    </row>
    <row r="271" spans="2:60" x14ac:dyDescent="0.2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2:60" hidden="1" x14ac:dyDescent="0.2">
      <c r="C272" t="s">
        <v>146</v>
      </c>
      <c r="F272" s="10">
        <f>67229+5487+20000</f>
        <v>92716</v>
      </c>
      <c r="G272" s="10">
        <f>666318+6046+18000</f>
        <v>690364</v>
      </c>
      <c r="H272" s="10">
        <f>63233+5651+20000</f>
        <v>88884</v>
      </c>
      <c r="I272" s="10">
        <f>44588+4072+19000</f>
        <v>67660</v>
      </c>
      <c r="J272" s="10">
        <f>39394+2462</f>
        <v>41856</v>
      </c>
      <c r="K272" s="10">
        <v>38398</v>
      </c>
      <c r="L272" s="10">
        <v>37997</v>
      </c>
      <c r="M272" s="10">
        <v>38369</v>
      </c>
      <c r="N272" s="10">
        <v>38661</v>
      </c>
      <c r="O272" s="10">
        <v>38342</v>
      </c>
      <c r="P272" s="10">
        <v>38668</v>
      </c>
      <c r="Q272" s="10">
        <v>1498</v>
      </c>
      <c r="R272" s="10">
        <v>2451</v>
      </c>
      <c r="S272" s="10">
        <v>1443</v>
      </c>
      <c r="T272" s="6">
        <v>0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2:60" s="7" customFormat="1" x14ac:dyDescent="0.2">
      <c r="C273" t="s">
        <v>146</v>
      </c>
      <c r="F273" s="10">
        <f>F272/31</f>
        <v>2990.8387096774195</v>
      </c>
      <c r="G273" s="10">
        <f>G272/29</f>
        <v>23805.655172413793</v>
      </c>
      <c r="H273" s="10">
        <f>H272/31</f>
        <v>2867.2258064516127</v>
      </c>
      <c r="I273" s="10">
        <f>I272/30</f>
        <v>2255.3333333333335</v>
      </c>
      <c r="J273" s="10">
        <f>J272/31</f>
        <v>1350.1935483870968</v>
      </c>
      <c r="K273" s="10">
        <f>K272/30</f>
        <v>1279.9333333333334</v>
      </c>
      <c r="L273" s="10">
        <f>L272/31</f>
        <v>1225.7096774193549</v>
      </c>
      <c r="M273" s="10">
        <f>M272/31</f>
        <v>1237.7096774193549</v>
      </c>
      <c r="N273" s="10">
        <f>N272/30</f>
        <v>1288.7</v>
      </c>
      <c r="O273" s="10">
        <f>O272/31</f>
        <v>1236.8387096774193</v>
      </c>
      <c r="P273" s="10">
        <f>P272/30</f>
        <v>1288.9333333333334</v>
      </c>
      <c r="Q273" s="10">
        <f>Q272/31</f>
        <v>48.322580645161288</v>
      </c>
      <c r="R273" s="10">
        <f>R272/31</f>
        <v>79.064516129032256</v>
      </c>
      <c r="S273" s="10">
        <f>S272/28</f>
        <v>51.535714285714285</v>
      </c>
      <c r="T273" s="10">
        <f>T272/31</f>
        <v>0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2:60" x14ac:dyDescent="0.2">
      <c r="C274" t="s">
        <v>116</v>
      </c>
      <c r="F274" s="10">
        <v>3000</v>
      </c>
      <c r="G274" s="10">
        <v>3000</v>
      </c>
      <c r="H274" s="10">
        <v>3000</v>
      </c>
      <c r="I274" s="10">
        <v>3000</v>
      </c>
      <c r="J274" s="10">
        <v>3000</v>
      </c>
      <c r="K274" s="10">
        <v>3000</v>
      </c>
      <c r="L274" s="10">
        <v>3000</v>
      </c>
      <c r="M274" s="10">
        <v>3000</v>
      </c>
      <c r="N274" s="10">
        <v>3000</v>
      </c>
      <c r="O274" s="10">
        <v>3000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2:60" hidden="1" x14ac:dyDescent="0.2">
      <c r="C275" t="s">
        <v>147</v>
      </c>
      <c r="F275" s="10">
        <v>100593</v>
      </c>
      <c r="G275" s="10">
        <v>88287</v>
      </c>
      <c r="H275" s="10">
        <v>68903</v>
      </c>
      <c r="I275" s="10">
        <v>42202</v>
      </c>
      <c r="J275" s="10">
        <v>20926</v>
      </c>
      <c r="K275" s="10">
        <v>10615</v>
      </c>
      <c r="L275" s="10">
        <v>9814</v>
      </c>
      <c r="M275" s="10">
        <v>9888</v>
      </c>
      <c r="N275" s="10">
        <v>12417</v>
      </c>
      <c r="O275" s="10">
        <v>20852</v>
      </c>
      <c r="P275" s="10">
        <v>23341</v>
      </c>
      <c r="Q275" s="10">
        <v>31463</v>
      </c>
      <c r="R275" s="10">
        <v>15546</v>
      </c>
      <c r="S275" s="10">
        <v>7292</v>
      </c>
      <c r="T275" s="6">
        <v>3500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2:60" s="7" customFormat="1" x14ac:dyDescent="0.2">
      <c r="C276" t="s">
        <v>147</v>
      </c>
      <c r="F276" s="10">
        <f>F275/31</f>
        <v>3244.9354838709678</v>
      </c>
      <c r="G276" s="10">
        <v>3136</v>
      </c>
      <c r="H276" s="10">
        <f>H275/31</f>
        <v>2222.6774193548385</v>
      </c>
      <c r="I276" s="10">
        <f>I275/30</f>
        <v>1406.7333333333333</v>
      </c>
      <c r="J276" s="10">
        <f>J275/31</f>
        <v>675.0322580645161</v>
      </c>
      <c r="K276" s="10">
        <f>K275/30</f>
        <v>353.83333333333331</v>
      </c>
      <c r="L276" s="10">
        <f>L275/31</f>
        <v>316.58064516129031</v>
      </c>
      <c r="M276" s="10">
        <f>M275/31</f>
        <v>318.96774193548384</v>
      </c>
      <c r="N276" s="10">
        <f>N275/30</f>
        <v>413.9</v>
      </c>
      <c r="O276" s="10">
        <f>O275/31</f>
        <v>672.64516129032256</v>
      </c>
      <c r="P276" s="10">
        <f>P275/30</f>
        <v>778.0333333333333</v>
      </c>
      <c r="Q276" s="10">
        <f>Q275/31</f>
        <v>1014.9354838709677</v>
      </c>
      <c r="R276" s="10">
        <f>R275/31</f>
        <v>501.48387096774195</v>
      </c>
      <c r="S276" s="10">
        <f>S275/28</f>
        <v>260.42857142857144</v>
      </c>
      <c r="T276" s="10">
        <f>T275/31</f>
        <v>112.90322580645162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2:60" x14ac:dyDescent="0.2">
      <c r="C277" t="s">
        <v>116</v>
      </c>
      <c r="F277" s="6">
        <v>4418</v>
      </c>
      <c r="G277" s="6">
        <v>4418</v>
      </c>
      <c r="H277" s="6">
        <v>4418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2:60" x14ac:dyDescent="0.2">
      <c r="C278" t="s">
        <v>5</v>
      </c>
      <c r="F278" s="5" t="s">
        <v>102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2:60" x14ac:dyDescent="0.2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2:60" x14ac:dyDescent="0.2">
      <c r="B280" s="3" t="s">
        <v>30</v>
      </c>
      <c r="C280" s="3" t="s">
        <v>34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2:60" x14ac:dyDescent="0.2">
      <c r="D281" t="s">
        <v>123</v>
      </c>
      <c r="F281" s="5">
        <f>$F$17+$F$18</f>
        <v>0.22750000000000001</v>
      </c>
      <c r="G281" s="5">
        <f>$G$17+$G$18</f>
        <v>0.22750000000000001</v>
      </c>
      <c r="H281" s="5">
        <f>$H$17+$H$18</f>
        <v>0.19750000000000001</v>
      </c>
      <c r="I281" s="5">
        <f>$I$17+$I$18</f>
        <v>0.1575</v>
      </c>
      <c r="J281" s="5">
        <f>$J$17+$J$18</f>
        <v>0.11749999999999999</v>
      </c>
      <c r="K281" s="5">
        <f>$K$17+$K$18</f>
        <v>0.11749999999999999</v>
      </c>
      <c r="L281" s="5">
        <f>$L$17+$L$18</f>
        <v>0.11749999999999999</v>
      </c>
      <c r="M281" s="5">
        <f>$M$17+$M$18</f>
        <v>0.11749999999999999</v>
      </c>
      <c r="N281" s="5">
        <f>$N$17+$N$18</f>
        <v>0.11749999999999999</v>
      </c>
      <c r="O281" s="5">
        <f>$O$17+$O$18</f>
        <v>0.1575</v>
      </c>
      <c r="P281" s="5">
        <f>$P$17+$P$18</f>
        <v>0.20250000000000001</v>
      </c>
      <c r="Q281" s="5">
        <f>$Q$17+$Q$18</f>
        <v>0.21250000000000002</v>
      </c>
      <c r="R281" s="5">
        <f>$R$17+$R$18</f>
        <v>0.23250000000000001</v>
      </c>
      <c r="S281" s="5">
        <f>$S$17+$S$18</f>
        <v>0.23250000000000001</v>
      </c>
      <c r="T281" s="5">
        <f>$T$17+$T$18</f>
        <v>0.20250000000000001</v>
      </c>
    </row>
    <row r="282" spans="2:60" x14ac:dyDescent="0.2">
      <c r="D282" t="s">
        <v>124</v>
      </c>
      <c r="F282" s="5">
        <f>$F$17+$F$18</f>
        <v>0.22750000000000001</v>
      </c>
      <c r="G282" s="5">
        <f>$G$17+$G$18</f>
        <v>0.22750000000000001</v>
      </c>
      <c r="H282" s="5">
        <f>$H$17+$H$18</f>
        <v>0.19750000000000001</v>
      </c>
      <c r="I282" s="5">
        <f>$I$17+$I$18</f>
        <v>0.1575</v>
      </c>
      <c r="J282" s="5">
        <f>$J$17+$J$18</f>
        <v>0.11749999999999999</v>
      </c>
      <c r="K282" s="5">
        <f>$K$17+$K$18</f>
        <v>0.11749999999999999</v>
      </c>
      <c r="L282" s="5">
        <f>$L$17+$L$18</f>
        <v>0.11749999999999999</v>
      </c>
      <c r="M282" s="5">
        <f>$M$17+$M$18</f>
        <v>0.11749999999999999</v>
      </c>
      <c r="N282" s="5">
        <f>$N$17+$N$18</f>
        <v>0.11749999999999999</v>
      </c>
      <c r="O282" s="5">
        <f>$O$17+$O$18</f>
        <v>0.1575</v>
      </c>
      <c r="P282" s="5">
        <f>$P$17+$P$18</f>
        <v>0.20250000000000001</v>
      </c>
      <c r="Q282" s="5">
        <f>$Q$17+$Q$18</f>
        <v>0.21250000000000002</v>
      </c>
      <c r="R282" s="5">
        <f>$R$17+$R$18</f>
        <v>0.23250000000000001</v>
      </c>
      <c r="S282" s="5">
        <f>$S$17+$S$18</f>
        <v>0.23250000000000001</v>
      </c>
      <c r="T282" s="5">
        <f>$T$17+$T$18</f>
        <v>0.20250000000000001</v>
      </c>
    </row>
    <row r="283" spans="2:60" x14ac:dyDescent="0.2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2:60" hidden="1" x14ac:dyDescent="0.2">
      <c r="C284" t="s">
        <v>146</v>
      </c>
      <c r="F284" s="10">
        <v>1109844</v>
      </c>
      <c r="G284" s="10">
        <v>971909</v>
      </c>
      <c r="H284" s="10">
        <v>754978</v>
      </c>
      <c r="I284" s="10">
        <v>92432</v>
      </c>
      <c r="J284" s="10">
        <v>70549</v>
      </c>
      <c r="K284" s="10">
        <v>60066</v>
      </c>
      <c r="L284" s="10">
        <v>55355</v>
      </c>
      <c r="M284" s="10">
        <v>38732</v>
      </c>
      <c r="N284" s="10">
        <v>39098</v>
      </c>
      <c r="O284" s="10">
        <v>47238</v>
      </c>
      <c r="P284" s="10">
        <v>36927</v>
      </c>
      <c r="Q284" s="10">
        <v>40444</v>
      </c>
      <c r="R284" s="10">
        <v>32263</v>
      </c>
      <c r="S284" s="10">
        <v>27259</v>
      </c>
      <c r="T284" s="10">
        <v>25556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2:60" s="7" customFormat="1" x14ac:dyDescent="0.2">
      <c r="C285" t="s">
        <v>146</v>
      </c>
      <c r="F285" s="10">
        <f>F284/31</f>
        <v>35801.419354838712</v>
      </c>
      <c r="G285" s="10">
        <f>G284/29</f>
        <v>33514.103448275862</v>
      </c>
      <c r="H285" s="10">
        <f>H284/31</f>
        <v>24354.129032258064</v>
      </c>
      <c r="I285" s="10">
        <f>I284/30</f>
        <v>3081.0666666666666</v>
      </c>
      <c r="J285" s="10">
        <f>J284/31</f>
        <v>2275.7741935483873</v>
      </c>
      <c r="K285" s="10">
        <f>K284/30</f>
        <v>2002.2</v>
      </c>
      <c r="L285" s="10">
        <f>L284/31</f>
        <v>1785.6451612903227</v>
      </c>
      <c r="M285" s="10">
        <f>M284/31</f>
        <v>1249.4193548387098</v>
      </c>
      <c r="N285" s="10">
        <f>N284/30</f>
        <v>1303.2666666666667</v>
      </c>
      <c r="O285" s="10">
        <f>O284/31</f>
        <v>1523.8064516129032</v>
      </c>
      <c r="P285" s="10">
        <f>P284/30</f>
        <v>1230.9000000000001</v>
      </c>
      <c r="Q285" s="10">
        <f>Q284/31</f>
        <v>1304.6451612903227</v>
      </c>
      <c r="R285" s="10">
        <f>R284/31</f>
        <v>1040.741935483871</v>
      </c>
      <c r="S285" s="10">
        <f>S284/28</f>
        <v>973.53571428571433</v>
      </c>
      <c r="T285" s="10">
        <f>T284/31</f>
        <v>824.38709677419354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2:60" x14ac:dyDescent="0.2">
      <c r="C286" t="s">
        <v>116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2:60" hidden="1" x14ac:dyDescent="0.2">
      <c r="C287" t="s">
        <v>147</v>
      </c>
      <c r="F287" s="10">
        <v>778304</v>
      </c>
      <c r="G287" s="10">
        <v>681991</v>
      </c>
      <c r="H287" s="10">
        <v>528433</v>
      </c>
      <c r="I287" s="10">
        <v>336761</v>
      </c>
      <c r="J287" s="10">
        <v>176805</v>
      </c>
      <c r="K287" s="10">
        <v>89624</v>
      </c>
      <c r="L287" s="10">
        <v>79999</v>
      </c>
      <c r="M287" s="10">
        <v>80202</v>
      </c>
      <c r="N287" s="10">
        <v>99589</v>
      </c>
      <c r="O287" s="10">
        <v>159745</v>
      </c>
      <c r="P287" s="10">
        <v>159120</v>
      </c>
      <c r="Q287" s="10">
        <v>214387</v>
      </c>
      <c r="R287" s="10">
        <v>91401</v>
      </c>
      <c r="S287" s="10">
        <v>37656</v>
      </c>
      <c r="T287" s="10">
        <v>15125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2:60" s="7" customFormat="1" x14ac:dyDescent="0.2">
      <c r="C288" t="s">
        <v>147</v>
      </c>
      <c r="F288" s="10">
        <f>F287/31</f>
        <v>25106.580645161292</v>
      </c>
      <c r="G288" s="10">
        <v>24222</v>
      </c>
      <c r="H288" s="10">
        <f>H287/31</f>
        <v>17046.225806451614</v>
      </c>
      <c r="I288" s="10">
        <f>I287/30</f>
        <v>11225.366666666667</v>
      </c>
      <c r="J288" s="10">
        <f>J287/31</f>
        <v>5703.3870967741932</v>
      </c>
      <c r="K288" s="10">
        <f>K287/30</f>
        <v>2987.4666666666667</v>
      </c>
      <c r="L288" s="10">
        <f>L287/31</f>
        <v>2580.6129032258063</v>
      </c>
      <c r="M288" s="10">
        <f>M287/31</f>
        <v>2587.1612903225805</v>
      </c>
      <c r="N288" s="10">
        <f>N287/30</f>
        <v>3319.6333333333332</v>
      </c>
      <c r="O288" s="10">
        <f>O287/31</f>
        <v>5153.0645161290322</v>
      </c>
      <c r="P288" s="10">
        <f>P287/30</f>
        <v>5304</v>
      </c>
      <c r="Q288" s="10">
        <f>Q287/31</f>
        <v>6915.7096774193551</v>
      </c>
      <c r="R288" s="10">
        <f>R287/31</f>
        <v>2948.4193548387098</v>
      </c>
      <c r="S288" s="10">
        <f>S287/28</f>
        <v>1344.8571428571429</v>
      </c>
      <c r="T288" s="10">
        <f>T287/31</f>
        <v>487.90322580645159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2:60" x14ac:dyDescent="0.2">
      <c r="C289" t="s">
        <v>116</v>
      </c>
      <c r="F289" s="6">
        <v>35727</v>
      </c>
      <c r="G289" s="6">
        <v>35727</v>
      </c>
      <c r="H289" s="6">
        <v>35727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2:60" x14ac:dyDescent="0.2">
      <c r="C290" t="s">
        <v>5</v>
      </c>
      <c r="F290" s="5" t="s">
        <v>102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2:60" x14ac:dyDescent="0.2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2:60" x14ac:dyDescent="0.2">
      <c r="B292" s="3" t="s">
        <v>30</v>
      </c>
      <c r="C292" s="3" t="s">
        <v>35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2:60" x14ac:dyDescent="0.2">
      <c r="D293" t="s">
        <v>123</v>
      </c>
      <c r="F293" s="5">
        <f>$F$17+$F$18</f>
        <v>0.22750000000000001</v>
      </c>
      <c r="G293" s="5">
        <f>$G$17+$G$18</f>
        <v>0.22750000000000001</v>
      </c>
      <c r="H293" s="5">
        <f>$H$17+$H$18</f>
        <v>0.19750000000000001</v>
      </c>
      <c r="I293" s="5">
        <f>$I$17+$I$18</f>
        <v>0.1575</v>
      </c>
      <c r="J293" s="5">
        <f>$J$17+$J$18</f>
        <v>0.11749999999999999</v>
      </c>
      <c r="K293" s="5">
        <f>$K$17+$K$18</f>
        <v>0.11749999999999999</v>
      </c>
      <c r="L293" s="5">
        <f>$L$17+$L$18</f>
        <v>0.11749999999999999</v>
      </c>
      <c r="M293" s="5">
        <f>$M$17+$M$18</f>
        <v>0.11749999999999999</v>
      </c>
      <c r="N293" s="5">
        <f>$N$17+$N$18</f>
        <v>0.11749999999999999</v>
      </c>
      <c r="O293" s="5">
        <f>$O$17+$O$18</f>
        <v>0.1575</v>
      </c>
      <c r="P293" s="5">
        <f>$P$17+$P$18</f>
        <v>0.20250000000000001</v>
      </c>
      <c r="Q293" s="5">
        <f>$Q$17+$Q$18</f>
        <v>0.21250000000000002</v>
      </c>
      <c r="R293" s="5">
        <f>$R$17+$R$18</f>
        <v>0.23250000000000001</v>
      </c>
      <c r="S293" s="5">
        <f>$S$17+$S$18</f>
        <v>0.23250000000000001</v>
      </c>
      <c r="T293" s="5">
        <f>$T$17+$T$18</f>
        <v>0.20250000000000001</v>
      </c>
    </row>
    <row r="294" spans="2:60" x14ac:dyDescent="0.2">
      <c r="D294" t="s">
        <v>124</v>
      </c>
      <c r="F294" s="5">
        <f>$F$17+$F$18</f>
        <v>0.22750000000000001</v>
      </c>
      <c r="G294" s="5">
        <f>$G$17+$G$18</f>
        <v>0.22750000000000001</v>
      </c>
      <c r="H294" s="5">
        <f>$H$17+$H$18</f>
        <v>0.19750000000000001</v>
      </c>
      <c r="I294" s="5">
        <f>$I$17+$I$18</f>
        <v>0.1575</v>
      </c>
      <c r="J294" s="5">
        <f>$J$17+$J$18</f>
        <v>0.11749999999999999</v>
      </c>
      <c r="K294" s="5">
        <f>$K$17+$K$18</f>
        <v>0.11749999999999999</v>
      </c>
      <c r="L294" s="5">
        <f>$L$17+$L$18</f>
        <v>0.11749999999999999</v>
      </c>
      <c r="M294" s="5">
        <f>$M$17+$M$18</f>
        <v>0.11749999999999999</v>
      </c>
      <c r="N294" s="5">
        <f>$N$17+$N$18</f>
        <v>0.11749999999999999</v>
      </c>
      <c r="O294" s="5">
        <f>$O$17+$O$18</f>
        <v>0.1575</v>
      </c>
      <c r="P294" s="5">
        <f>$P$17+$P$18</f>
        <v>0.20250000000000001</v>
      </c>
      <c r="Q294" s="5">
        <f>$Q$17+$Q$18</f>
        <v>0.21250000000000002</v>
      </c>
      <c r="R294" s="5">
        <f>$R$17+$R$18</f>
        <v>0.23250000000000001</v>
      </c>
      <c r="S294" s="5">
        <f>$S$17+$S$18</f>
        <v>0.23250000000000001</v>
      </c>
      <c r="T294" s="5">
        <f>$T$17+$T$18</f>
        <v>0.20250000000000001</v>
      </c>
    </row>
    <row r="295" spans="2:60" x14ac:dyDescent="0.2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2:60" hidden="1" x14ac:dyDescent="0.2">
      <c r="C296" t="s">
        <v>146</v>
      </c>
      <c r="F296" s="10">
        <f>6865+24303</f>
        <v>31168</v>
      </c>
      <c r="G296" s="10">
        <f>7433+21859</f>
        <v>29292</v>
      </c>
      <c r="H296" s="10">
        <f>5792+18398</f>
        <v>24190</v>
      </c>
      <c r="I296" s="10">
        <f>6846+5552</f>
        <v>12398</v>
      </c>
      <c r="J296" s="10">
        <f>4757+2116</f>
        <v>6873</v>
      </c>
      <c r="K296" s="10">
        <f>3212+1222</f>
        <v>4434</v>
      </c>
      <c r="L296" s="10">
        <f>3031+671</f>
        <v>3702</v>
      </c>
      <c r="M296" s="10">
        <f>2985+495</f>
        <v>3480</v>
      </c>
      <c r="N296" s="10">
        <f>3045+405</f>
        <v>3450</v>
      </c>
      <c r="O296" s="10">
        <f>1217+804</f>
        <v>2021</v>
      </c>
      <c r="P296" s="10">
        <f>685+1056</f>
        <v>1741</v>
      </c>
      <c r="Q296" s="10">
        <f>483+2830</f>
        <v>3313</v>
      </c>
      <c r="R296" s="10">
        <f>552+4034</f>
        <v>4586</v>
      </c>
      <c r="S296" s="10">
        <f>438+2537</f>
        <v>2975</v>
      </c>
      <c r="T296" s="10">
        <f>234+2625</f>
        <v>2859</v>
      </c>
      <c r="U296" s="6"/>
      <c r="V296" s="6"/>
      <c r="W296" s="6"/>
      <c r="X296" s="6"/>
    </row>
    <row r="297" spans="2:60" s="7" customFormat="1" x14ac:dyDescent="0.2">
      <c r="C297" t="s">
        <v>146</v>
      </c>
      <c r="F297" s="10">
        <f>F296/31</f>
        <v>1005.4193548387096</v>
      </c>
      <c r="G297" s="10">
        <f>G296/29</f>
        <v>1010.0689655172414</v>
      </c>
      <c r="H297" s="10">
        <f>H296/31</f>
        <v>780.32258064516134</v>
      </c>
      <c r="I297" s="10">
        <f>I296/30</f>
        <v>413.26666666666665</v>
      </c>
      <c r="J297" s="10">
        <f>J296/31</f>
        <v>221.70967741935485</v>
      </c>
      <c r="K297" s="10">
        <f>K296/30</f>
        <v>147.80000000000001</v>
      </c>
      <c r="L297" s="10">
        <f>L296/31</f>
        <v>119.41935483870968</v>
      </c>
      <c r="M297" s="10">
        <f>M296/31</f>
        <v>112.25806451612904</v>
      </c>
      <c r="N297" s="10">
        <f>N296/30</f>
        <v>115</v>
      </c>
      <c r="O297" s="10">
        <f>O296/31</f>
        <v>65.193548387096769</v>
      </c>
      <c r="P297" s="10">
        <f>P296/30</f>
        <v>58.033333333333331</v>
      </c>
      <c r="Q297" s="10">
        <f>Q296/31</f>
        <v>106.87096774193549</v>
      </c>
      <c r="R297" s="10">
        <f>R296/31</f>
        <v>147.93548387096774</v>
      </c>
      <c r="S297" s="10">
        <f>S296/28</f>
        <v>106.25</v>
      </c>
      <c r="T297" s="10">
        <f>T296/31</f>
        <v>92.225806451612897</v>
      </c>
      <c r="U297" s="6"/>
      <c r="V297" s="6"/>
      <c r="W297" s="6"/>
      <c r="X297" s="6"/>
    </row>
    <row r="298" spans="2:60" x14ac:dyDescent="0.2">
      <c r="C298" t="s">
        <v>116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/>
      <c r="V298" s="6"/>
      <c r="W298" s="6"/>
      <c r="X298" s="6"/>
    </row>
    <row r="299" spans="2:60" hidden="1" x14ac:dyDescent="0.2">
      <c r="C299" t="s">
        <v>147</v>
      </c>
      <c r="F299" s="10">
        <v>132721</v>
      </c>
      <c r="G299" s="10">
        <v>115807</v>
      </c>
      <c r="H299" s="10">
        <v>90142</v>
      </c>
      <c r="I299" s="10">
        <v>55602</v>
      </c>
      <c r="J299" s="10">
        <v>27554</v>
      </c>
      <c r="K299" s="10">
        <v>13514</v>
      </c>
      <c r="L299" s="10">
        <v>12831</v>
      </c>
      <c r="M299" s="10">
        <v>12955</v>
      </c>
      <c r="N299" s="10">
        <v>16472</v>
      </c>
      <c r="O299" s="10">
        <v>26930</v>
      </c>
      <c r="P299" s="10">
        <v>29299</v>
      </c>
      <c r="Q299" s="10">
        <v>39477</v>
      </c>
      <c r="R299" s="10">
        <v>17185</v>
      </c>
      <c r="S299" s="10">
        <v>7227</v>
      </c>
      <c r="T299" s="10">
        <v>2998</v>
      </c>
      <c r="U299" s="6"/>
      <c r="V299" s="6"/>
      <c r="W299" s="6"/>
      <c r="X299" s="6"/>
    </row>
    <row r="300" spans="2:60" s="7" customFormat="1" x14ac:dyDescent="0.2">
      <c r="C300" t="s">
        <v>147</v>
      </c>
      <c r="F300" s="10">
        <f>F299/31</f>
        <v>4281.322580645161</v>
      </c>
      <c r="G300" s="10">
        <v>4113</v>
      </c>
      <c r="H300" s="10">
        <f>H299/31</f>
        <v>2907.8064516129034</v>
      </c>
      <c r="I300" s="10">
        <f>I299/30</f>
        <v>1853.4</v>
      </c>
      <c r="J300" s="10">
        <f>J299/31</f>
        <v>888.83870967741939</v>
      </c>
      <c r="K300" s="10">
        <f>K299/30</f>
        <v>450.46666666666664</v>
      </c>
      <c r="L300" s="10">
        <f>L299/31</f>
        <v>413.90322580645159</v>
      </c>
      <c r="M300" s="10">
        <f>M299/31</f>
        <v>417.90322580645159</v>
      </c>
      <c r="N300" s="10">
        <f>N299/30</f>
        <v>549.06666666666672</v>
      </c>
      <c r="O300" s="10">
        <f>O299/31</f>
        <v>868.70967741935488</v>
      </c>
      <c r="P300" s="10">
        <f>P299/30</f>
        <v>976.63333333333333</v>
      </c>
      <c r="Q300" s="10">
        <f>Q299/31</f>
        <v>1273.4516129032259</v>
      </c>
      <c r="R300" s="10">
        <f>R299/31</f>
        <v>554.35483870967744</v>
      </c>
      <c r="S300" s="10">
        <f>S299/28</f>
        <v>258.10714285714283</v>
      </c>
      <c r="T300" s="10">
        <f>T299/31</f>
        <v>96.709677419354833</v>
      </c>
      <c r="U300" s="6"/>
      <c r="V300" s="6"/>
      <c r="W300" s="6"/>
      <c r="X300" s="6"/>
    </row>
    <row r="301" spans="2:60" x14ac:dyDescent="0.2">
      <c r="C301" t="s">
        <v>116</v>
      </c>
      <c r="F301" s="6">
        <v>6016</v>
      </c>
      <c r="G301" s="6">
        <v>6016</v>
      </c>
      <c r="H301" s="6">
        <v>6016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/>
      <c r="V301" s="6"/>
      <c r="W301" s="6"/>
      <c r="X301" s="6"/>
    </row>
    <row r="302" spans="2:60" x14ac:dyDescent="0.2">
      <c r="C302" t="s">
        <v>5</v>
      </c>
      <c r="F302" s="5" t="s">
        <v>103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2:60" x14ac:dyDescent="0.2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2:60" x14ac:dyDescent="0.2">
      <c r="B304" s="3" t="s">
        <v>30</v>
      </c>
      <c r="C304" s="3" t="s">
        <v>36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2:24" x14ac:dyDescent="0.2">
      <c r="D305" t="s">
        <v>123</v>
      </c>
      <c r="F305" s="5">
        <f>$F$17+$F$18</f>
        <v>0.22750000000000001</v>
      </c>
      <c r="G305" s="5">
        <f>$G$17+$G$18</f>
        <v>0.22750000000000001</v>
      </c>
      <c r="H305" s="5">
        <f>$H$17+$H$18</f>
        <v>0.19750000000000001</v>
      </c>
      <c r="I305" s="5">
        <f>$I$17+$I$18</f>
        <v>0.1575</v>
      </c>
      <c r="J305" s="5">
        <f>$J$17+$J$18</f>
        <v>0.11749999999999999</v>
      </c>
      <c r="K305" s="5">
        <f>$K$17+$K$18</f>
        <v>0.11749999999999999</v>
      </c>
      <c r="L305" s="5">
        <f>$L$17+$L$18</f>
        <v>0.11749999999999999</v>
      </c>
      <c r="M305" s="5">
        <f>$M$17+$M$18</f>
        <v>0.11749999999999999</v>
      </c>
      <c r="N305" s="5">
        <f>$N$17+$N$18</f>
        <v>0.11749999999999999</v>
      </c>
      <c r="O305" s="5">
        <f>$O$17+$O$18</f>
        <v>0.1575</v>
      </c>
      <c r="P305" s="5">
        <f>$P$17+$P$18</f>
        <v>0.20250000000000001</v>
      </c>
      <c r="Q305" s="5">
        <f>$Q$17+$Q$18</f>
        <v>0.21250000000000002</v>
      </c>
      <c r="R305" s="5">
        <f>$R$17+$R$18</f>
        <v>0.23250000000000001</v>
      </c>
      <c r="S305" s="5">
        <f>$S$17+$S$18</f>
        <v>0.23250000000000001</v>
      </c>
      <c r="T305" s="5">
        <f>$T$17+$T$18</f>
        <v>0.20250000000000001</v>
      </c>
    </row>
    <row r="306" spans="2:24" x14ac:dyDescent="0.2">
      <c r="D306" t="s">
        <v>124</v>
      </c>
      <c r="F306" s="5">
        <f>$F$17+$F$18</f>
        <v>0.22750000000000001</v>
      </c>
      <c r="G306" s="5">
        <f>$G$17+$G$18</f>
        <v>0.22750000000000001</v>
      </c>
      <c r="H306" s="5">
        <f>$H$17+$H$18</f>
        <v>0.19750000000000001</v>
      </c>
      <c r="I306" s="5">
        <f>$I$17+$I$18</f>
        <v>0.1575</v>
      </c>
      <c r="J306" s="5">
        <f>$J$17+$J$18</f>
        <v>0.11749999999999999</v>
      </c>
      <c r="K306" s="5">
        <f>$K$17+$K$18</f>
        <v>0.11749999999999999</v>
      </c>
      <c r="L306" s="5">
        <f>$L$17+$L$18</f>
        <v>0.11749999999999999</v>
      </c>
      <c r="M306" s="5">
        <f>$M$17+$M$18</f>
        <v>0.11749999999999999</v>
      </c>
      <c r="N306" s="5">
        <f>$N$17+$N$18</f>
        <v>0.11749999999999999</v>
      </c>
      <c r="O306" s="5">
        <f>$O$17+$O$18</f>
        <v>0.1575</v>
      </c>
      <c r="P306" s="5">
        <f>$P$17+$P$18</f>
        <v>0.20250000000000001</v>
      </c>
      <c r="Q306" s="5">
        <f>$Q$17+$Q$18</f>
        <v>0.21250000000000002</v>
      </c>
      <c r="R306" s="5">
        <f>$R$17+$R$18</f>
        <v>0.23250000000000001</v>
      </c>
      <c r="S306" s="5">
        <f>$S$17+$S$18</f>
        <v>0.23250000000000001</v>
      </c>
      <c r="T306" s="5">
        <f>$T$17+$T$18</f>
        <v>0.20250000000000001</v>
      </c>
    </row>
    <row r="307" spans="2:24" x14ac:dyDescent="0.2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idden="1" x14ac:dyDescent="0.2">
      <c r="C308" t="s">
        <v>146</v>
      </c>
      <c r="F308" s="10">
        <v>222724</v>
      </c>
      <c r="G308" s="10">
        <v>201032</v>
      </c>
      <c r="H308" s="10">
        <v>167984</v>
      </c>
      <c r="I308" s="10">
        <v>44275</v>
      </c>
      <c r="J308" s="10">
        <v>37715</v>
      </c>
      <c r="K308" s="10">
        <v>22572</v>
      </c>
      <c r="L308" s="10">
        <v>16852</v>
      </c>
      <c r="M308" s="10">
        <v>18854</v>
      </c>
      <c r="N308" s="10">
        <v>18227</v>
      </c>
      <c r="O308" s="10">
        <v>16068</v>
      </c>
      <c r="P308" s="10">
        <v>27329</v>
      </c>
      <c r="Q308" s="10">
        <v>34334</v>
      </c>
      <c r="R308" s="10">
        <v>13265</v>
      </c>
      <c r="S308" s="10">
        <v>13678</v>
      </c>
      <c r="T308" s="10">
        <v>13228</v>
      </c>
      <c r="U308" s="6"/>
      <c r="V308" s="6"/>
      <c r="W308" s="6"/>
      <c r="X308" s="6"/>
    </row>
    <row r="309" spans="2:24" s="7" customFormat="1" x14ac:dyDescent="0.2">
      <c r="C309" t="s">
        <v>146</v>
      </c>
      <c r="F309" s="10">
        <f>F308/31</f>
        <v>7184.6451612903229</v>
      </c>
      <c r="G309" s="10">
        <f>G308/29</f>
        <v>6932.1379310344828</v>
      </c>
      <c r="H309" s="10">
        <f>H308/31</f>
        <v>5418.8387096774195</v>
      </c>
      <c r="I309" s="10">
        <f>I308/30</f>
        <v>1475.8333333333333</v>
      </c>
      <c r="J309" s="10">
        <f>J308/31</f>
        <v>1216.6129032258063</v>
      </c>
      <c r="K309" s="10">
        <f>K308/30</f>
        <v>752.4</v>
      </c>
      <c r="L309" s="10">
        <f>L308/31</f>
        <v>543.61290322580646</v>
      </c>
      <c r="M309" s="10">
        <f>M308/31</f>
        <v>608.19354838709683</v>
      </c>
      <c r="N309" s="10">
        <f>N308/30</f>
        <v>607.56666666666672</v>
      </c>
      <c r="O309" s="10">
        <f>O308/31</f>
        <v>518.32258064516134</v>
      </c>
      <c r="P309" s="10">
        <f>P308/30</f>
        <v>910.9666666666667</v>
      </c>
      <c r="Q309" s="10">
        <f>Q308/31</f>
        <v>1107.5483870967741</v>
      </c>
      <c r="R309" s="10">
        <f>R308/31</f>
        <v>427.90322580645159</v>
      </c>
      <c r="S309" s="10">
        <f>S308/28</f>
        <v>488.5</v>
      </c>
      <c r="T309" s="10">
        <f>T308/31</f>
        <v>426.70967741935482</v>
      </c>
      <c r="U309" s="6"/>
      <c r="V309" s="6"/>
      <c r="W309" s="6"/>
      <c r="X309" s="6"/>
    </row>
    <row r="310" spans="2:24" x14ac:dyDescent="0.2">
      <c r="C310" t="s">
        <v>116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/>
      <c r="V310" s="6"/>
      <c r="W310" s="6"/>
      <c r="X310" s="6"/>
    </row>
    <row r="311" spans="2:24" hidden="1" x14ac:dyDescent="0.2">
      <c r="C311" t="s">
        <v>147</v>
      </c>
      <c r="F311" s="10">
        <v>145808</v>
      </c>
      <c r="G311" s="10">
        <v>127616</v>
      </c>
      <c r="H311" s="10">
        <v>99472</v>
      </c>
      <c r="I311" s="10">
        <v>61130</v>
      </c>
      <c r="J311" s="10">
        <v>30303</v>
      </c>
      <c r="K311" s="10">
        <v>15129</v>
      </c>
      <c r="L311" s="10">
        <v>14164</v>
      </c>
      <c r="M311" s="10">
        <v>14285</v>
      </c>
      <c r="N311" s="10">
        <v>18044</v>
      </c>
      <c r="O311" s="10">
        <v>29920</v>
      </c>
      <c r="P311" s="10">
        <v>33050</v>
      </c>
      <c r="Q311" s="10">
        <v>44541</v>
      </c>
      <c r="R311" s="10">
        <v>20795</v>
      </c>
      <c r="S311" s="10">
        <v>9319</v>
      </c>
      <c r="T311" s="10">
        <v>4226</v>
      </c>
      <c r="U311" s="6"/>
      <c r="V311" s="6"/>
      <c r="W311" s="6"/>
      <c r="X311" s="6"/>
    </row>
    <row r="312" spans="2:24" s="7" customFormat="1" x14ac:dyDescent="0.2">
      <c r="C312" t="s">
        <v>147</v>
      </c>
      <c r="F312" s="10">
        <f>F311/31</f>
        <v>4703.4838709677415</v>
      </c>
      <c r="G312" s="10">
        <v>4533</v>
      </c>
      <c r="H312" s="10">
        <f>H311/31</f>
        <v>3208.7741935483873</v>
      </c>
      <c r="I312" s="10">
        <f>I311/30</f>
        <v>2037.6666666666667</v>
      </c>
      <c r="J312" s="10">
        <f>J311/31</f>
        <v>977.51612903225805</v>
      </c>
      <c r="K312" s="10">
        <f>K311/30</f>
        <v>504.3</v>
      </c>
      <c r="L312" s="10">
        <f>L311/31</f>
        <v>456.90322580645159</v>
      </c>
      <c r="M312" s="10">
        <f>M311/31</f>
        <v>460.80645161290323</v>
      </c>
      <c r="N312" s="10">
        <f>N311/30</f>
        <v>601.4666666666667</v>
      </c>
      <c r="O312" s="10">
        <f>O311/31</f>
        <v>965.16129032258061</v>
      </c>
      <c r="P312" s="10">
        <f>P311/30</f>
        <v>1101.6666666666667</v>
      </c>
      <c r="Q312" s="10">
        <f>Q311/31</f>
        <v>1436.8064516129032</v>
      </c>
      <c r="R312" s="10">
        <f>R311/31</f>
        <v>670.80645161290317</v>
      </c>
      <c r="S312" s="10">
        <f>S311/28</f>
        <v>332.82142857142856</v>
      </c>
      <c r="T312" s="10">
        <f>T311/31</f>
        <v>136.32258064516128</v>
      </c>
      <c r="U312" s="6"/>
      <c r="V312" s="6"/>
      <c r="W312" s="6"/>
      <c r="X312" s="6"/>
    </row>
    <row r="313" spans="2:24" x14ac:dyDescent="0.2">
      <c r="C313" t="s">
        <v>116</v>
      </c>
      <c r="F313" s="6">
        <v>6692</v>
      </c>
      <c r="G313" s="6">
        <v>6692</v>
      </c>
      <c r="H313" s="6">
        <v>6692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/>
      <c r="V313" s="6"/>
      <c r="W313" s="6"/>
      <c r="X313" s="6"/>
    </row>
    <row r="314" spans="2:24" x14ac:dyDescent="0.2">
      <c r="C314" t="s">
        <v>5</v>
      </c>
      <c r="F314" s="5" t="s">
        <v>104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2:24" x14ac:dyDescent="0.2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2:24" x14ac:dyDescent="0.2">
      <c r="B316" s="3" t="s">
        <v>30</v>
      </c>
      <c r="C316" s="3" t="s">
        <v>37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2:24" x14ac:dyDescent="0.2">
      <c r="D317" t="s">
        <v>123</v>
      </c>
      <c r="F317" s="5">
        <f>$F$17+$F$18</f>
        <v>0.22750000000000001</v>
      </c>
      <c r="G317" s="5">
        <f>$G$17+$G$18</f>
        <v>0.22750000000000001</v>
      </c>
      <c r="H317" s="5">
        <f>$H$17+$H$18</f>
        <v>0.19750000000000001</v>
      </c>
      <c r="I317" s="5">
        <f>$I$17+$I$18</f>
        <v>0.1575</v>
      </c>
      <c r="J317" s="5">
        <f>$J$17+$J$18</f>
        <v>0.11749999999999999</v>
      </c>
      <c r="K317" s="5">
        <f>$K$17+$K$18</f>
        <v>0.11749999999999999</v>
      </c>
      <c r="L317" s="5">
        <f>$L$17+$L$18</f>
        <v>0.11749999999999999</v>
      </c>
      <c r="M317" s="5">
        <f>$M$17+$M$18</f>
        <v>0.11749999999999999</v>
      </c>
      <c r="N317" s="5">
        <f>$N$17+$N$18</f>
        <v>0.11749999999999999</v>
      </c>
      <c r="O317" s="5">
        <f>$O$17+$O$18</f>
        <v>0.1575</v>
      </c>
      <c r="P317" s="5">
        <f>$P$17+$P$18</f>
        <v>0.20250000000000001</v>
      </c>
      <c r="Q317" s="5">
        <f>$Q$17+$Q$18</f>
        <v>0.21250000000000002</v>
      </c>
      <c r="R317" s="5">
        <f>$R$17+$R$18</f>
        <v>0.23250000000000001</v>
      </c>
      <c r="S317" s="5">
        <f>$S$17+$S$18</f>
        <v>0.23250000000000001</v>
      </c>
      <c r="T317" s="5">
        <f>$T$17+$T$18</f>
        <v>0.20250000000000001</v>
      </c>
    </row>
    <row r="318" spans="2:24" x14ac:dyDescent="0.2">
      <c r="D318" t="s">
        <v>124</v>
      </c>
      <c r="F318" s="5">
        <f>$F$17+$F$18</f>
        <v>0.22750000000000001</v>
      </c>
      <c r="G318" s="5">
        <f>$G$17+$G$18</f>
        <v>0.22750000000000001</v>
      </c>
      <c r="H318" s="5">
        <f>$H$17+$H$18</f>
        <v>0.19750000000000001</v>
      </c>
      <c r="I318" s="5">
        <f>$I$17+$I$18</f>
        <v>0.1575</v>
      </c>
      <c r="J318" s="5">
        <f>$J$17+$J$18</f>
        <v>0.11749999999999999</v>
      </c>
      <c r="K318" s="5">
        <f>$K$17+$K$18</f>
        <v>0.11749999999999999</v>
      </c>
      <c r="L318" s="5">
        <f>$L$17+$L$18</f>
        <v>0.11749999999999999</v>
      </c>
      <c r="M318" s="5">
        <f>$M$17+$M$18</f>
        <v>0.11749999999999999</v>
      </c>
      <c r="N318" s="5">
        <f>$N$17+$N$18</f>
        <v>0.11749999999999999</v>
      </c>
      <c r="O318" s="5">
        <f>$O$17+$O$18</f>
        <v>0.1575</v>
      </c>
      <c r="P318" s="5">
        <f>$P$17+$P$18</f>
        <v>0.20250000000000001</v>
      </c>
      <c r="Q318" s="5">
        <f>$Q$17+$Q$18</f>
        <v>0.21250000000000002</v>
      </c>
      <c r="R318" s="5">
        <f>$R$17+$R$18</f>
        <v>0.23250000000000001</v>
      </c>
      <c r="S318" s="5">
        <f>$S$17+$S$18</f>
        <v>0.23250000000000001</v>
      </c>
      <c r="T318" s="5">
        <f>$T$17+$T$18</f>
        <v>0.20250000000000001</v>
      </c>
    </row>
    <row r="319" spans="2:24" x14ac:dyDescent="0.2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2:24" hidden="1" x14ac:dyDescent="0.2">
      <c r="C320" t="s">
        <v>146</v>
      </c>
      <c r="F320" s="10">
        <f>267012+100000</f>
        <v>367012</v>
      </c>
      <c r="G320" s="10">
        <f>291828+50000</f>
        <v>341828</v>
      </c>
      <c r="H320" s="10">
        <v>299151</v>
      </c>
      <c r="I320" s="10">
        <v>159628</v>
      </c>
      <c r="J320" s="10">
        <v>111260</v>
      </c>
      <c r="K320" s="10">
        <v>109750</v>
      </c>
      <c r="L320" s="10">
        <v>97026</v>
      </c>
      <c r="M320" s="10">
        <v>101044</v>
      </c>
      <c r="N320" s="10">
        <v>101689</v>
      </c>
      <c r="O320" s="10">
        <v>109668</v>
      </c>
      <c r="P320" s="10">
        <v>10877</v>
      </c>
      <c r="Q320" s="10">
        <v>11672</v>
      </c>
      <c r="R320" s="10">
        <v>13011</v>
      </c>
      <c r="S320" s="10">
        <v>9726</v>
      </c>
      <c r="T320" s="10">
        <v>8507</v>
      </c>
      <c r="U320" s="6"/>
      <c r="V320" s="6"/>
      <c r="W320" s="6"/>
    </row>
    <row r="321" spans="2:28" s="7" customFormat="1" x14ac:dyDescent="0.2">
      <c r="C321" t="s">
        <v>146</v>
      </c>
      <c r="F321" s="10">
        <f>F320/31</f>
        <v>11839.096774193549</v>
      </c>
      <c r="G321" s="10">
        <f>G320/29</f>
        <v>11787.172413793103</v>
      </c>
      <c r="H321" s="10">
        <f>H320/31</f>
        <v>9650.032258064517</v>
      </c>
      <c r="I321" s="10">
        <f>I320/30</f>
        <v>5320.9333333333334</v>
      </c>
      <c r="J321" s="10">
        <f>J320/31</f>
        <v>3589.0322580645161</v>
      </c>
      <c r="K321" s="10">
        <f>K320/30</f>
        <v>3658.3333333333335</v>
      </c>
      <c r="L321" s="10">
        <f>L320/31</f>
        <v>3129.8709677419356</v>
      </c>
      <c r="M321" s="10">
        <f>M320/31</f>
        <v>3259.483870967742</v>
      </c>
      <c r="N321" s="10">
        <f>N320/30</f>
        <v>3389.6333333333332</v>
      </c>
      <c r="O321" s="10">
        <f>O320/31</f>
        <v>3537.6774193548385</v>
      </c>
      <c r="P321" s="10">
        <f>P320/30</f>
        <v>362.56666666666666</v>
      </c>
      <c r="Q321" s="10">
        <f>Q320/31</f>
        <v>376.51612903225805</v>
      </c>
      <c r="R321" s="10">
        <f>R320/31</f>
        <v>419.70967741935482</v>
      </c>
      <c r="S321" s="10">
        <f>S320/28</f>
        <v>347.35714285714283</v>
      </c>
      <c r="T321" s="10">
        <f>T320/31</f>
        <v>274.41935483870969</v>
      </c>
      <c r="U321" s="6"/>
      <c r="V321" s="6"/>
      <c r="W321" s="6"/>
    </row>
    <row r="322" spans="2:28" x14ac:dyDescent="0.2">
      <c r="C322" t="s">
        <v>116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/>
      <c r="V322" s="6"/>
      <c r="W322" s="6"/>
    </row>
    <row r="323" spans="2:28" hidden="1" x14ac:dyDescent="0.2">
      <c r="C323" t="s">
        <v>147</v>
      </c>
      <c r="F323" s="10">
        <v>172714</v>
      </c>
      <c r="G323" s="10">
        <v>151457</v>
      </c>
      <c r="H323" s="10">
        <v>118160</v>
      </c>
      <c r="I323" s="10">
        <v>72444</v>
      </c>
      <c r="J323" s="10">
        <v>35919</v>
      </c>
      <c r="K323" s="10">
        <v>18133</v>
      </c>
      <c r="L323" s="10">
        <v>16828</v>
      </c>
      <c r="M323" s="10">
        <v>16961</v>
      </c>
      <c r="N323" s="10">
        <v>21336</v>
      </c>
      <c r="O323" s="10">
        <v>35693</v>
      </c>
      <c r="P323" s="10">
        <v>39795</v>
      </c>
      <c r="Q323" s="10">
        <v>53638</v>
      </c>
      <c r="R323" s="10">
        <v>26067</v>
      </c>
      <c r="S323" s="10">
        <v>12071</v>
      </c>
      <c r="T323" s="10">
        <v>5705</v>
      </c>
      <c r="U323" s="6"/>
      <c r="V323" s="6"/>
      <c r="W323" s="6"/>
    </row>
    <row r="324" spans="2:28" s="7" customFormat="1" x14ac:dyDescent="0.2">
      <c r="C324" t="s">
        <v>147</v>
      </c>
      <c r="F324" s="10">
        <f>F323/31</f>
        <v>5571.4193548387093</v>
      </c>
      <c r="G324" s="10">
        <v>5379</v>
      </c>
      <c r="H324" s="10">
        <f>H323/31</f>
        <v>3811.6129032258063</v>
      </c>
      <c r="I324" s="10">
        <f>I323/30</f>
        <v>2414.8000000000002</v>
      </c>
      <c r="J324" s="10">
        <f>J323/31</f>
        <v>1158.6774193548388</v>
      </c>
      <c r="K324" s="10">
        <f>K323/30</f>
        <v>604.43333333333328</v>
      </c>
      <c r="L324" s="10">
        <f>L323/31</f>
        <v>542.83870967741939</v>
      </c>
      <c r="M324" s="10">
        <f>M323/31</f>
        <v>547.12903225806451</v>
      </c>
      <c r="N324" s="10">
        <f>N323/30</f>
        <v>711.2</v>
      </c>
      <c r="O324" s="10">
        <f>O323/31</f>
        <v>1151.3870967741937</v>
      </c>
      <c r="P324" s="10">
        <f>P323/30</f>
        <v>1326.5</v>
      </c>
      <c r="Q324" s="10">
        <f>Q323/31</f>
        <v>1730.258064516129</v>
      </c>
      <c r="R324" s="10">
        <f>R323/31</f>
        <v>840.87096774193549</v>
      </c>
      <c r="S324" s="10">
        <f>S323/28</f>
        <v>431.10714285714283</v>
      </c>
      <c r="T324" s="10">
        <f>T323/31</f>
        <v>184.03225806451613</v>
      </c>
      <c r="U324" s="6"/>
      <c r="V324" s="6"/>
      <c r="W324" s="6"/>
    </row>
    <row r="325" spans="2:28" x14ac:dyDescent="0.2">
      <c r="C325" t="s">
        <v>116</v>
      </c>
      <c r="F325" s="6">
        <v>7950</v>
      </c>
      <c r="G325" s="6">
        <v>7950</v>
      </c>
      <c r="H325" s="6">
        <v>7950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/>
      <c r="V325" s="6"/>
      <c r="W325" s="6"/>
    </row>
    <row r="326" spans="2:28" x14ac:dyDescent="0.2">
      <c r="C326" t="s">
        <v>5</v>
      </c>
      <c r="F326" s="5" t="s">
        <v>104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2:28" x14ac:dyDescent="0.2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2:28" x14ac:dyDescent="0.2">
      <c r="B328" s="3" t="s">
        <v>38</v>
      </c>
      <c r="C328" s="3" t="s">
        <v>39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2:28" x14ac:dyDescent="0.2">
      <c r="D329" t="s">
        <v>123</v>
      </c>
      <c r="F329" s="5">
        <f>$F$17+$F$18</f>
        <v>0.22750000000000001</v>
      </c>
      <c r="G329" s="5">
        <f>$G$17+$G$18</f>
        <v>0.22750000000000001</v>
      </c>
      <c r="H329" s="5">
        <f>$H$17+$H$18</f>
        <v>0.19750000000000001</v>
      </c>
      <c r="I329" s="5">
        <f>$I$17+$I$18</f>
        <v>0.1575</v>
      </c>
      <c r="J329" s="5">
        <f>$J$17+$J$18</f>
        <v>0.11749999999999999</v>
      </c>
      <c r="K329" s="5">
        <f>$K$17+$K$18</f>
        <v>0.11749999999999999</v>
      </c>
      <c r="L329" s="5">
        <f>$L$17+$L$18</f>
        <v>0.11749999999999999</v>
      </c>
      <c r="M329" s="5">
        <f>$M$17+$M$18</f>
        <v>0.11749999999999999</v>
      </c>
      <c r="N329" s="5">
        <f>$N$17+$N$18</f>
        <v>0.11749999999999999</v>
      </c>
      <c r="O329" s="5">
        <f>$O$17+$O$18</f>
        <v>0.1575</v>
      </c>
      <c r="P329" s="5">
        <f>$P$17+$P$18</f>
        <v>0.20250000000000001</v>
      </c>
      <c r="Q329" s="5">
        <f>$Q$17+$Q$18</f>
        <v>0.21250000000000002</v>
      </c>
      <c r="R329" s="5">
        <f>$R$17+$R$18</f>
        <v>0.23250000000000001</v>
      </c>
      <c r="S329" s="5">
        <f>$S$17+$S$18</f>
        <v>0.23250000000000001</v>
      </c>
      <c r="T329" s="5">
        <f>$T$17+$T$18</f>
        <v>0.20250000000000001</v>
      </c>
    </row>
    <row r="330" spans="2:28" x14ac:dyDescent="0.2">
      <c r="D330" t="s">
        <v>124</v>
      </c>
      <c r="F330" s="5">
        <f>$F$17+$F$18</f>
        <v>0.22750000000000001</v>
      </c>
      <c r="G330" s="5">
        <f>$G$17+$G$18</f>
        <v>0.22750000000000001</v>
      </c>
      <c r="H330" s="5">
        <f>$H$17+$H$18</f>
        <v>0.19750000000000001</v>
      </c>
      <c r="I330" s="5">
        <f>$I$17+$I$18</f>
        <v>0.1575</v>
      </c>
      <c r="J330" s="5">
        <f>$J$17+$J$18</f>
        <v>0.11749999999999999</v>
      </c>
      <c r="K330" s="5">
        <f>$K$17+$K$18</f>
        <v>0.11749999999999999</v>
      </c>
      <c r="L330" s="5">
        <f>$L$17+$L$18</f>
        <v>0.11749999999999999</v>
      </c>
      <c r="M330" s="5">
        <f>$M$17+$M$18</f>
        <v>0.11749999999999999</v>
      </c>
      <c r="N330" s="5">
        <f>$N$17+$N$18</f>
        <v>0.11749999999999999</v>
      </c>
      <c r="O330" s="5">
        <f>$O$17+$O$18</f>
        <v>0.1575</v>
      </c>
      <c r="P330" s="5">
        <f>$P$17+$P$18</f>
        <v>0.20250000000000001</v>
      </c>
      <c r="Q330" s="5">
        <f>$Q$17+$Q$18</f>
        <v>0.21250000000000002</v>
      </c>
      <c r="R330" s="5">
        <f>$R$17+$R$18</f>
        <v>0.23250000000000001</v>
      </c>
      <c r="S330" s="5">
        <f>$S$17+$S$18</f>
        <v>0.23250000000000001</v>
      </c>
      <c r="T330" s="5">
        <f>$T$17+$T$18</f>
        <v>0.20250000000000001</v>
      </c>
    </row>
    <row r="331" spans="2:28" x14ac:dyDescent="0.2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2:28" hidden="1" x14ac:dyDescent="0.2">
      <c r="C332" t="s">
        <v>146</v>
      </c>
      <c r="F332" s="10">
        <f>30297+3250+279</f>
        <v>33826</v>
      </c>
      <c r="G332" s="10">
        <f>25044+2500+261</f>
        <v>27805</v>
      </c>
      <c r="H332" s="10">
        <f>18609+3340+279</f>
        <v>22228</v>
      </c>
      <c r="I332" s="10">
        <v>23882</v>
      </c>
      <c r="J332" s="10">
        <v>27128</v>
      </c>
      <c r="K332" s="10">
        <v>14670</v>
      </c>
      <c r="L332" s="10">
        <v>13796</v>
      </c>
      <c r="M332" s="10">
        <v>7989</v>
      </c>
      <c r="N332" s="10">
        <v>7739</v>
      </c>
      <c r="O332" s="10">
        <v>7739</v>
      </c>
      <c r="P332" s="10">
        <v>6009</v>
      </c>
      <c r="Q332" s="6">
        <v>0</v>
      </c>
      <c r="R332" s="6">
        <v>0</v>
      </c>
      <c r="S332" s="6">
        <v>0</v>
      </c>
      <c r="T332" s="6">
        <v>0</v>
      </c>
      <c r="U332" s="6"/>
      <c r="V332" s="6"/>
      <c r="W332" s="6"/>
      <c r="X332" s="6"/>
      <c r="Y332" s="6"/>
      <c r="Z332" s="6"/>
      <c r="AA332" s="6"/>
      <c r="AB332" s="6"/>
    </row>
    <row r="333" spans="2:28" s="7" customFormat="1" x14ac:dyDescent="0.2">
      <c r="C333" t="s">
        <v>146</v>
      </c>
      <c r="F333" s="10">
        <f>F332/31</f>
        <v>1091.1612903225807</v>
      </c>
      <c r="G333" s="10">
        <f>G332/29</f>
        <v>958.79310344827582</v>
      </c>
      <c r="H333" s="10">
        <f>H332/31</f>
        <v>717.0322580645161</v>
      </c>
      <c r="I333" s="10">
        <f>I332/30</f>
        <v>796.06666666666672</v>
      </c>
      <c r="J333" s="10">
        <f>J332/31</f>
        <v>875.09677419354841</v>
      </c>
      <c r="K333" s="10">
        <f>K332/30</f>
        <v>489</v>
      </c>
      <c r="L333" s="10">
        <f>L332/31</f>
        <v>445.03225806451616</v>
      </c>
      <c r="M333" s="10">
        <f>M332/31</f>
        <v>257.70967741935482</v>
      </c>
      <c r="N333" s="10">
        <f>N332/30</f>
        <v>257.96666666666664</v>
      </c>
      <c r="O333" s="10">
        <f>O332/31</f>
        <v>249.64516129032259</v>
      </c>
      <c r="P333" s="10">
        <f>P332/30</f>
        <v>200.3</v>
      </c>
      <c r="Q333" s="10">
        <f>Q332/31</f>
        <v>0</v>
      </c>
      <c r="R333" s="10">
        <f>R332/31</f>
        <v>0</v>
      </c>
      <c r="S333" s="10">
        <f>S332/28</f>
        <v>0</v>
      </c>
      <c r="T333" s="10">
        <f>T332/31</f>
        <v>0</v>
      </c>
      <c r="U333" s="6"/>
      <c r="V333" s="6"/>
      <c r="W333" s="6"/>
      <c r="X333" s="6"/>
      <c r="Y333" s="6"/>
      <c r="Z333" s="6"/>
      <c r="AA333" s="6"/>
      <c r="AB333" s="6"/>
    </row>
    <row r="334" spans="2:28" x14ac:dyDescent="0.2">
      <c r="C334" t="s">
        <v>116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/>
      <c r="V334" s="6"/>
      <c r="W334" s="6"/>
      <c r="X334" s="6"/>
      <c r="Y334" s="6"/>
      <c r="Z334" s="6"/>
      <c r="AA334" s="6"/>
      <c r="AB334" s="6"/>
    </row>
    <row r="335" spans="2:28" hidden="1" x14ac:dyDescent="0.2">
      <c r="C335" t="s">
        <v>147</v>
      </c>
      <c r="F335" s="10">
        <f>88+1039+1045+129</f>
        <v>2301</v>
      </c>
      <c r="G335" s="10">
        <f>79+937+1044+128</f>
        <v>2188</v>
      </c>
      <c r="H335" s="10">
        <f>82+1035+1044+128</f>
        <v>2289</v>
      </c>
      <c r="I335" s="10">
        <f>78+1001+1044+127</f>
        <v>2250</v>
      </c>
      <c r="J335" s="10">
        <f>79+1019+1044+127</f>
        <v>2269</v>
      </c>
      <c r="K335" s="10">
        <f>77+981+32+126</f>
        <v>1216</v>
      </c>
      <c r="L335" s="10">
        <f>79+1012+32+126</f>
        <v>1249</v>
      </c>
      <c r="M335" s="10">
        <f>79+1007+32+125</f>
        <v>1243</v>
      </c>
      <c r="N335" s="10">
        <f>74+970+32+125</f>
        <v>1201</v>
      </c>
      <c r="O335" s="10">
        <f>76+997+32+124</f>
        <v>1229</v>
      </c>
      <c r="P335" s="10">
        <f>73+960+32</f>
        <v>1065</v>
      </c>
      <c r="Q335" s="10">
        <f>76+775+32</f>
        <v>883</v>
      </c>
      <c r="R335" s="10">
        <f>69+768</f>
        <v>837</v>
      </c>
      <c r="S335" s="10">
        <f>58+690</f>
        <v>748</v>
      </c>
      <c r="T335" s="10">
        <f>63+529</f>
        <v>592</v>
      </c>
      <c r="U335" s="6"/>
      <c r="V335" s="6"/>
      <c r="W335" s="6"/>
      <c r="X335" s="6"/>
      <c r="Y335" s="6"/>
      <c r="Z335" s="6"/>
      <c r="AA335" s="6"/>
      <c r="AB335" s="6"/>
    </row>
    <row r="336" spans="2:28" s="7" customFormat="1" x14ac:dyDescent="0.2">
      <c r="C336" t="s">
        <v>147</v>
      </c>
      <c r="F336" s="10">
        <f>F335/31</f>
        <v>74.225806451612897</v>
      </c>
      <c r="G336" s="10">
        <v>78</v>
      </c>
      <c r="H336" s="10">
        <f>H335/31</f>
        <v>73.838709677419359</v>
      </c>
      <c r="I336" s="10">
        <f>I335/30</f>
        <v>75</v>
      </c>
      <c r="J336" s="10">
        <f>J335/31</f>
        <v>73.193548387096769</v>
      </c>
      <c r="K336" s="10">
        <f>K335/30</f>
        <v>40.533333333333331</v>
      </c>
      <c r="L336" s="10">
        <f>L335/31</f>
        <v>40.29032258064516</v>
      </c>
      <c r="M336" s="10">
        <f>M335/31</f>
        <v>40.096774193548384</v>
      </c>
      <c r="N336" s="10">
        <f>N335/30</f>
        <v>40.033333333333331</v>
      </c>
      <c r="O336" s="10">
        <f>O335/31</f>
        <v>39.645161290322584</v>
      </c>
      <c r="P336" s="10">
        <f>P335/30</f>
        <v>35.5</v>
      </c>
      <c r="Q336" s="10">
        <f>Q335/31</f>
        <v>28.483870967741936</v>
      </c>
      <c r="R336" s="10">
        <f>R335/31</f>
        <v>27</v>
      </c>
      <c r="S336" s="10">
        <f>S335/28</f>
        <v>26.714285714285715</v>
      </c>
      <c r="T336" s="10">
        <f>T335/31</f>
        <v>19.096774193548388</v>
      </c>
      <c r="U336" s="6"/>
      <c r="V336" s="6"/>
      <c r="W336" s="6"/>
      <c r="X336" s="6"/>
      <c r="Y336" s="6"/>
      <c r="Z336" s="6"/>
      <c r="AA336" s="6"/>
      <c r="AB336" s="6"/>
    </row>
    <row r="337" spans="2:28" x14ac:dyDescent="0.2">
      <c r="C337" t="s">
        <v>116</v>
      </c>
      <c r="F337" s="6">
        <v>80</v>
      </c>
      <c r="G337" s="6">
        <v>80</v>
      </c>
      <c r="H337" s="6">
        <v>80</v>
      </c>
      <c r="I337" s="6">
        <v>75</v>
      </c>
      <c r="J337" s="6">
        <v>75</v>
      </c>
      <c r="K337" s="6">
        <v>59</v>
      </c>
      <c r="L337" s="6">
        <v>59</v>
      </c>
      <c r="M337" s="6">
        <v>58</v>
      </c>
      <c r="N337" s="6">
        <v>55</v>
      </c>
      <c r="O337" s="6">
        <v>54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/>
      <c r="V337" s="6"/>
      <c r="W337" s="6"/>
      <c r="X337" s="6"/>
      <c r="Y337" s="6"/>
      <c r="Z337" s="6"/>
      <c r="AA337" s="6"/>
      <c r="AB337" s="6"/>
    </row>
    <row r="338" spans="2:28" x14ac:dyDescent="0.2">
      <c r="C338" t="s">
        <v>5</v>
      </c>
      <c r="F338" s="5" t="s">
        <v>105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2:28" x14ac:dyDescent="0.2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2:28" x14ac:dyDescent="0.2">
      <c r="B340" s="3" t="s">
        <v>38</v>
      </c>
      <c r="C340" s="3" t="s">
        <v>40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2:28" x14ac:dyDescent="0.2">
      <c r="D341" t="s">
        <v>123</v>
      </c>
      <c r="F341" s="5">
        <f>$F$17+$F$18</f>
        <v>0.22750000000000001</v>
      </c>
      <c r="G341" s="5">
        <f>$G$17+$G$18</f>
        <v>0.22750000000000001</v>
      </c>
      <c r="H341" s="5">
        <f>$H$17+$H$18</f>
        <v>0.19750000000000001</v>
      </c>
      <c r="I341" s="5">
        <f>$I$17+$I$18</f>
        <v>0.1575</v>
      </c>
      <c r="J341" s="5">
        <f>$J$17+$J$18</f>
        <v>0.11749999999999999</v>
      </c>
      <c r="K341" s="5">
        <f>$K$17+$K$18</f>
        <v>0.11749999999999999</v>
      </c>
      <c r="L341" s="5">
        <f>$L$17+$L$18</f>
        <v>0.11749999999999999</v>
      </c>
      <c r="M341" s="5">
        <f>$M$17+$M$18</f>
        <v>0.11749999999999999</v>
      </c>
      <c r="N341" s="5">
        <f>$N$17+$N$18</f>
        <v>0.11749999999999999</v>
      </c>
      <c r="O341" s="5">
        <f>$O$17+$O$18</f>
        <v>0.1575</v>
      </c>
      <c r="P341" s="5">
        <f>$P$17+$P$18</f>
        <v>0.20250000000000001</v>
      </c>
      <c r="Q341" s="5">
        <f>$Q$17+$Q$18</f>
        <v>0.21250000000000002</v>
      </c>
      <c r="R341" s="5">
        <f>$R$17+$R$18</f>
        <v>0.23250000000000001</v>
      </c>
      <c r="S341" s="5">
        <f>$S$17+$S$18</f>
        <v>0.23250000000000001</v>
      </c>
      <c r="T341" s="5">
        <f>$T$17+$T$18</f>
        <v>0.20250000000000001</v>
      </c>
    </row>
    <row r="342" spans="2:28" x14ac:dyDescent="0.2">
      <c r="D342" t="s">
        <v>124</v>
      </c>
      <c r="F342" s="5">
        <f>$F$17+$F$18</f>
        <v>0.22750000000000001</v>
      </c>
      <c r="G342" s="5">
        <f>$G$17+$G$18</f>
        <v>0.22750000000000001</v>
      </c>
      <c r="H342" s="5">
        <f>$H$17+$H$18</f>
        <v>0.19750000000000001</v>
      </c>
      <c r="I342" s="5">
        <f>$I$17+$I$18</f>
        <v>0.1575</v>
      </c>
      <c r="J342" s="5">
        <f>$J$17+$J$18</f>
        <v>0.11749999999999999</v>
      </c>
      <c r="K342" s="5">
        <f>$K$17+$K$18</f>
        <v>0.11749999999999999</v>
      </c>
      <c r="L342" s="5">
        <f>$L$17+$L$18</f>
        <v>0.11749999999999999</v>
      </c>
      <c r="M342" s="5">
        <f>$M$17+$M$18</f>
        <v>0.11749999999999999</v>
      </c>
      <c r="N342" s="5">
        <f>$N$17+$N$18</f>
        <v>0.11749999999999999</v>
      </c>
      <c r="O342" s="5">
        <f>$O$17+$O$18</f>
        <v>0.1575</v>
      </c>
      <c r="P342" s="5">
        <f>$P$17+$P$18</f>
        <v>0.20250000000000001</v>
      </c>
      <c r="Q342" s="5">
        <f>$Q$17+$Q$18</f>
        <v>0.21250000000000002</v>
      </c>
      <c r="R342" s="5">
        <f>$R$17+$R$18</f>
        <v>0.23250000000000001</v>
      </c>
      <c r="S342" s="5">
        <f>$S$17+$S$18</f>
        <v>0.23250000000000001</v>
      </c>
      <c r="T342" s="5">
        <f>$T$17+$T$18</f>
        <v>0.20250000000000001</v>
      </c>
    </row>
    <row r="343" spans="2:28" x14ac:dyDescent="0.2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2:28" x14ac:dyDescent="0.2">
      <c r="C344" t="s">
        <v>146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</row>
    <row r="345" spans="2:28" x14ac:dyDescent="0.2">
      <c r="C345" t="s">
        <v>116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</row>
    <row r="346" spans="2:28" x14ac:dyDescent="0.2">
      <c r="C346" t="s">
        <v>147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</row>
    <row r="347" spans="2:28" x14ac:dyDescent="0.2">
      <c r="C347" t="s">
        <v>116</v>
      </c>
      <c r="F347" s="6">
        <v>211</v>
      </c>
      <c r="G347" s="6">
        <v>210</v>
      </c>
      <c r="H347" s="6">
        <v>209</v>
      </c>
      <c r="I347" s="6">
        <v>185</v>
      </c>
      <c r="J347" s="6">
        <v>185</v>
      </c>
      <c r="K347" s="6">
        <v>98</v>
      </c>
      <c r="L347" s="6">
        <v>97</v>
      </c>
      <c r="M347" s="6">
        <v>89</v>
      </c>
      <c r="N347" s="6">
        <v>66</v>
      </c>
      <c r="O347" s="6">
        <v>64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</row>
    <row r="348" spans="2:28" x14ac:dyDescent="0.2">
      <c r="C348" t="s">
        <v>5</v>
      </c>
      <c r="F348" s="5" t="s">
        <v>106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2:28" x14ac:dyDescent="0.2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2:28" x14ac:dyDescent="0.2">
      <c r="B350" s="3" t="s">
        <v>38</v>
      </c>
      <c r="C350" s="3" t="s">
        <v>41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2:28" x14ac:dyDescent="0.2">
      <c r="D351" t="s">
        <v>123</v>
      </c>
      <c r="F351" s="5">
        <f>$F$17+$F$18</f>
        <v>0.22750000000000001</v>
      </c>
      <c r="G351" s="5">
        <f>$G$17+$G$18</f>
        <v>0.22750000000000001</v>
      </c>
      <c r="H351" s="5">
        <f>$H$17+$H$18</f>
        <v>0.19750000000000001</v>
      </c>
      <c r="I351" s="5">
        <f>$I$17+$I$18</f>
        <v>0.1575</v>
      </c>
      <c r="J351" s="5">
        <f>$J$17+$J$18</f>
        <v>0.11749999999999999</v>
      </c>
      <c r="K351" s="5">
        <f>$K$17+$K$18</f>
        <v>0.11749999999999999</v>
      </c>
      <c r="L351" s="5">
        <f>$L$17+$L$18</f>
        <v>0.11749999999999999</v>
      </c>
      <c r="M351" s="5">
        <f>$M$17+$M$18</f>
        <v>0.11749999999999999</v>
      </c>
      <c r="N351" s="5">
        <f>$N$17+$N$18</f>
        <v>0.11749999999999999</v>
      </c>
      <c r="O351" s="5">
        <f>$O$17+$O$18</f>
        <v>0.1575</v>
      </c>
      <c r="P351" s="5">
        <f>$P$17+$P$18</f>
        <v>0.20250000000000001</v>
      </c>
      <c r="Q351" s="5">
        <f>$Q$17+$Q$18</f>
        <v>0.21250000000000002</v>
      </c>
      <c r="R351" s="5">
        <f>$R$17+$R$18</f>
        <v>0.23250000000000001</v>
      </c>
      <c r="S351" s="5">
        <f>$S$17+$S$18</f>
        <v>0.23250000000000001</v>
      </c>
      <c r="T351" s="5">
        <f>$T$17+$T$18</f>
        <v>0.20250000000000001</v>
      </c>
    </row>
    <row r="352" spans="2:28" x14ac:dyDescent="0.2">
      <c r="D352" t="s">
        <v>124</v>
      </c>
      <c r="F352" s="5">
        <f>$F$17+$F$18</f>
        <v>0.22750000000000001</v>
      </c>
      <c r="G352" s="5">
        <f>$G$17+$G$18</f>
        <v>0.22750000000000001</v>
      </c>
      <c r="H352" s="5">
        <f>$H$17+$H$18</f>
        <v>0.19750000000000001</v>
      </c>
      <c r="I352" s="5">
        <f>$I$17+$I$18</f>
        <v>0.1575</v>
      </c>
      <c r="J352" s="5">
        <f>$J$17+$J$18</f>
        <v>0.11749999999999999</v>
      </c>
      <c r="K352" s="5">
        <f>$K$17+$K$18</f>
        <v>0.11749999999999999</v>
      </c>
      <c r="L352" s="5">
        <f>$L$17+$L$18</f>
        <v>0.11749999999999999</v>
      </c>
      <c r="M352" s="5">
        <f>$M$17+$M$18</f>
        <v>0.11749999999999999</v>
      </c>
      <c r="N352" s="5">
        <f>$N$17+$N$18</f>
        <v>0.11749999999999999</v>
      </c>
      <c r="O352" s="5">
        <f>$O$17+$O$18</f>
        <v>0.1575</v>
      </c>
      <c r="P352" s="5">
        <f>$P$17+$P$18</f>
        <v>0.20250000000000001</v>
      </c>
      <c r="Q352" s="5">
        <f>$Q$17+$Q$18</f>
        <v>0.21250000000000002</v>
      </c>
      <c r="R352" s="5">
        <f>$R$17+$R$18</f>
        <v>0.23250000000000001</v>
      </c>
      <c r="S352" s="5">
        <f>$S$17+$S$18</f>
        <v>0.23250000000000001</v>
      </c>
      <c r="T352" s="5">
        <f>$T$17+$T$18</f>
        <v>0.20250000000000001</v>
      </c>
    </row>
    <row r="353" spans="2:27" x14ac:dyDescent="0.2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2:27" hidden="1" x14ac:dyDescent="0.2">
      <c r="C354" t="s">
        <v>146</v>
      </c>
      <c r="F354" s="8">
        <v>3441</v>
      </c>
      <c r="G354" s="8">
        <v>3569</v>
      </c>
      <c r="H354" s="8">
        <v>2821</v>
      </c>
      <c r="I354" s="8">
        <v>3930</v>
      </c>
      <c r="J354" s="8">
        <v>3224</v>
      </c>
      <c r="K354" s="8">
        <v>1950</v>
      </c>
      <c r="L354" s="8">
        <v>1457</v>
      </c>
      <c r="M354" s="8">
        <v>1457</v>
      </c>
      <c r="N354" s="8">
        <v>1680</v>
      </c>
      <c r="O354" s="8">
        <v>2511</v>
      </c>
      <c r="P354" s="8">
        <v>3810</v>
      </c>
      <c r="Q354" s="8">
        <v>3441</v>
      </c>
      <c r="R354" s="8">
        <v>3069</v>
      </c>
      <c r="S354" s="8">
        <v>3612</v>
      </c>
      <c r="T354" s="8">
        <v>2759</v>
      </c>
    </row>
    <row r="355" spans="2:27" s="7" customFormat="1" x14ac:dyDescent="0.2">
      <c r="C355" t="s">
        <v>146</v>
      </c>
      <c r="F355" s="9">
        <f>F354/31</f>
        <v>111</v>
      </c>
      <c r="G355" s="9">
        <f>G354/29</f>
        <v>123.06896551724138</v>
      </c>
      <c r="H355" s="9">
        <f>H354/31</f>
        <v>91</v>
      </c>
      <c r="I355" s="9">
        <f>I354/30</f>
        <v>131</v>
      </c>
      <c r="J355" s="9">
        <f>J354/31</f>
        <v>104</v>
      </c>
      <c r="K355" s="9">
        <f>K354/30</f>
        <v>65</v>
      </c>
      <c r="L355" s="9">
        <f>L354/31</f>
        <v>47</v>
      </c>
      <c r="M355" s="9">
        <f>M354/31</f>
        <v>47</v>
      </c>
      <c r="N355" s="9">
        <f>N354/30</f>
        <v>56</v>
      </c>
      <c r="O355" s="9">
        <f>O354/31</f>
        <v>81</v>
      </c>
      <c r="P355" s="9">
        <f>P354/30</f>
        <v>127</v>
      </c>
      <c r="Q355" s="9">
        <f>Q354/31</f>
        <v>111</v>
      </c>
      <c r="R355" s="9">
        <f>R354/31</f>
        <v>99</v>
      </c>
      <c r="S355" s="9">
        <f>S354/28</f>
        <v>129</v>
      </c>
      <c r="T355" s="9">
        <f>T354/31</f>
        <v>89</v>
      </c>
    </row>
    <row r="356" spans="2:27" x14ac:dyDescent="0.2">
      <c r="C356" t="s">
        <v>116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</row>
    <row r="357" spans="2:27" x14ac:dyDescent="0.2">
      <c r="C357" t="s">
        <v>147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</row>
    <row r="358" spans="2:27" x14ac:dyDescent="0.2">
      <c r="C358" t="s">
        <v>116</v>
      </c>
      <c r="F358" s="6">
        <v>43</v>
      </c>
      <c r="G358" s="6">
        <v>43</v>
      </c>
      <c r="H358" s="6">
        <v>43</v>
      </c>
      <c r="I358" s="6">
        <v>38</v>
      </c>
      <c r="J358" s="6">
        <v>38</v>
      </c>
      <c r="K358" s="6">
        <v>20</v>
      </c>
      <c r="L358" s="6">
        <v>20</v>
      </c>
      <c r="M358" s="6">
        <v>18</v>
      </c>
      <c r="N358" s="6">
        <v>14</v>
      </c>
      <c r="O358" s="6">
        <v>14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</row>
    <row r="359" spans="2:27" x14ac:dyDescent="0.2">
      <c r="C359" t="s">
        <v>5</v>
      </c>
      <c r="F359" s="5" t="s">
        <v>106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2:27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2:27" x14ac:dyDescent="0.2">
      <c r="B361" s="3" t="s">
        <v>38</v>
      </c>
      <c r="C361" s="3" t="s">
        <v>42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2:27" x14ac:dyDescent="0.2">
      <c r="D362" t="s">
        <v>123</v>
      </c>
      <c r="F362" s="5">
        <f>$F$17+$F$18</f>
        <v>0.22750000000000001</v>
      </c>
      <c r="G362" s="5">
        <f>$G$17+$G$18</f>
        <v>0.22750000000000001</v>
      </c>
      <c r="H362" s="5">
        <f>$H$17+$H$18</f>
        <v>0.19750000000000001</v>
      </c>
      <c r="I362" s="5">
        <f>$I$17+$I$18</f>
        <v>0.1575</v>
      </c>
      <c r="J362" s="5">
        <f>$J$17+$J$18</f>
        <v>0.11749999999999999</v>
      </c>
      <c r="K362" s="5">
        <f>$K$17+$K$18</f>
        <v>0.11749999999999999</v>
      </c>
      <c r="L362" s="5">
        <f>$L$17+$L$18</f>
        <v>0.11749999999999999</v>
      </c>
      <c r="M362" s="5">
        <f>$M$17+$M$18</f>
        <v>0.11749999999999999</v>
      </c>
      <c r="N362" s="5">
        <f>$N$17+$N$18</f>
        <v>0.11749999999999999</v>
      </c>
      <c r="O362" s="5">
        <f>$O$17+$O$18</f>
        <v>0.1575</v>
      </c>
      <c r="P362" s="5">
        <f>$P$17+$P$18</f>
        <v>0.20250000000000001</v>
      </c>
      <c r="Q362" s="5">
        <f>$Q$17+$Q$18</f>
        <v>0.21250000000000002</v>
      </c>
      <c r="R362" s="5">
        <f>$R$17+$R$18</f>
        <v>0.23250000000000001</v>
      </c>
      <c r="S362" s="5">
        <f>$S$17+$S$18</f>
        <v>0.23250000000000001</v>
      </c>
      <c r="T362" s="5">
        <f>$T$17+$T$18</f>
        <v>0.20250000000000001</v>
      </c>
    </row>
    <row r="363" spans="2:27" x14ac:dyDescent="0.2">
      <c r="D363" t="s">
        <v>124</v>
      </c>
      <c r="F363" s="5">
        <f>$F$17+$F$18</f>
        <v>0.22750000000000001</v>
      </c>
      <c r="G363" s="5">
        <f>$G$17+$G$18</f>
        <v>0.22750000000000001</v>
      </c>
      <c r="H363" s="5">
        <f>$H$17+$H$18</f>
        <v>0.19750000000000001</v>
      </c>
      <c r="I363" s="5">
        <f>$I$17+$I$18</f>
        <v>0.1575</v>
      </c>
      <c r="J363" s="5">
        <f>$J$17+$J$18</f>
        <v>0.11749999999999999</v>
      </c>
      <c r="K363" s="5">
        <f>$K$17+$K$18</f>
        <v>0.11749999999999999</v>
      </c>
      <c r="L363" s="5">
        <f>$L$17+$L$18</f>
        <v>0.11749999999999999</v>
      </c>
      <c r="M363" s="5">
        <f>$M$17+$M$18</f>
        <v>0.11749999999999999</v>
      </c>
      <c r="N363" s="5">
        <f>$N$17+$N$18</f>
        <v>0.11749999999999999</v>
      </c>
      <c r="O363" s="5">
        <f>$O$17+$O$18</f>
        <v>0.1575</v>
      </c>
      <c r="P363" s="5">
        <f>$P$17+$P$18</f>
        <v>0.20250000000000001</v>
      </c>
      <c r="Q363" s="5">
        <f>$Q$17+$Q$18</f>
        <v>0.21250000000000002</v>
      </c>
      <c r="R363" s="5">
        <f>$R$17+$R$18</f>
        <v>0.23250000000000001</v>
      </c>
      <c r="S363" s="5">
        <f>$S$17+$S$18</f>
        <v>0.23250000000000001</v>
      </c>
      <c r="T363" s="5">
        <f>$T$17+$T$18</f>
        <v>0.20250000000000001</v>
      </c>
    </row>
    <row r="364" spans="2:27" x14ac:dyDescent="0.2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idden="1" x14ac:dyDescent="0.2">
      <c r="C365" t="s">
        <v>146</v>
      </c>
      <c r="F365" s="10">
        <f>50848+223839+92121+18404</f>
        <v>385212</v>
      </c>
      <c r="G365" s="10">
        <f>42304+193190+84886+18607</f>
        <v>338987</v>
      </c>
      <c r="H365" s="10">
        <f>44722+137905+85558+18416</f>
        <v>286601</v>
      </c>
      <c r="I365" s="10">
        <f>59213+184797+18416</f>
        <v>262426</v>
      </c>
      <c r="J365" s="10">
        <f>60976+168780+17679</f>
        <v>247435</v>
      </c>
      <c r="K365" s="10">
        <f>59156+120668+17889</f>
        <v>197713</v>
      </c>
      <c r="L365" s="10">
        <f>61209+100945+16837</f>
        <v>178991</v>
      </c>
      <c r="M365" s="10">
        <f>60769+73364+13158</f>
        <v>147291</v>
      </c>
      <c r="N365" s="10">
        <f>46108+63425</f>
        <v>109533</v>
      </c>
      <c r="O365" s="10">
        <f>3498+63425</f>
        <v>66923</v>
      </c>
      <c r="P365" s="10">
        <f>1535+55711</f>
        <v>57246</v>
      </c>
      <c r="Q365" s="10">
        <f>2+3472</f>
        <v>3474</v>
      </c>
      <c r="R365" s="10">
        <f>24+4350</f>
        <v>4374</v>
      </c>
      <c r="S365" s="10">
        <v>4613</v>
      </c>
      <c r="T365" s="10">
        <v>3171</v>
      </c>
      <c r="U365" s="6"/>
      <c r="V365" s="6"/>
      <c r="W365" s="6"/>
      <c r="X365" s="6"/>
      <c r="Y365" s="6"/>
      <c r="Z365" s="6"/>
      <c r="AA365" s="6"/>
    </row>
    <row r="366" spans="2:27" s="7" customFormat="1" x14ac:dyDescent="0.2">
      <c r="C366" t="s">
        <v>146</v>
      </c>
      <c r="F366" s="10">
        <f>F365/31</f>
        <v>12426.193548387097</v>
      </c>
      <c r="G366" s="10">
        <f>G365/29</f>
        <v>11689.206896551725</v>
      </c>
      <c r="H366" s="10">
        <f>H365/31</f>
        <v>9245.1935483870966</v>
      </c>
      <c r="I366" s="10">
        <f>I365/30</f>
        <v>8747.5333333333328</v>
      </c>
      <c r="J366" s="10">
        <f>J365/31</f>
        <v>7981.7741935483873</v>
      </c>
      <c r="K366" s="10">
        <f>K365/30</f>
        <v>6590.4333333333334</v>
      </c>
      <c r="L366" s="10">
        <f>L365/31</f>
        <v>5773.9032258064517</v>
      </c>
      <c r="M366" s="10">
        <f>M365/31</f>
        <v>4751.322580645161</v>
      </c>
      <c r="N366" s="10">
        <f>N365/30</f>
        <v>3651.1</v>
      </c>
      <c r="O366" s="10">
        <f>O365/31</f>
        <v>2158.8064516129034</v>
      </c>
      <c r="P366" s="10">
        <f>P365/30</f>
        <v>1908.2</v>
      </c>
      <c r="Q366" s="10">
        <f>Q365/31</f>
        <v>112.06451612903226</v>
      </c>
      <c r="R366" s="10">
        <f>R365/31</f>
        <v>141.09677419354838</v>
      </c>
      <c r="S366" s="10">
        <f>S365/28</f>
        <v>164.75</v>
      </c>
      <c r="T366" s="10">
        <f>T365/31</f>
        <v>102.29032258064517</v>
      </c>
      <c r="U366" s="6"/>
      <c r="V366" s="6"/>
      <c r="W366" s="6"/>
      <c r="X366" s="6"/>
      <c r="Y366" s="6"/>
      <c r="Z366" s="6"/>
      <c r="AA366" s="6"/>
    </row>
    <row r="367" spans="2:27" x14ac:dyDescent="0.2">
      <c r="C367" t="s">
        <v>116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/>
      <c r="V367" s="6"/>
      <c r="W367" s="6"/>
      <c r="X367" s="6"/>
      <c r="Y367" s="6"/>
      <c r="Z367" s="6"/>
      <c r="AA367" s="6"/>
    </row>
    <row r="368" spans="2:27" hidden="1" x14ac:dyDescent="0.2">
      <c r="C368" t="s">
        <v>147</v>
      </c>
      <c r="F368" s="10">
        <f>85465+25133+259314+4376+1872</f>
        <v>376160</v>
      </c>
      <c r="G368" s="10">
        <f>74765+22737+233904+4375+1864</f>
        <v>337645</v>
      </c>
      <c r="H368" s="10">
        <f>58264+23401+258202+4375+1856</f>
        <v>346098</v>
      </c>
      <c r="I368" s="10">
        <f>35827+22443+249643+4374+1849</f>
        <v>314136</v>
      </c>
      <c r="J368" s="10">
        <f>17759+22702+254347+4374+1841</f>
        <v>301023</v>
      </c>
      <c r="K368" s="10">
        <f>8841+21932+244765+136+1833</f>
        <v>277507</v>
      </c>
      <c r="L368" s="10">
        <f>8296+22602+252450+135+1825</f>
        <v>285308</v>
      </c>
      <c r="M368" s="10">
        <f>8368+22481+251181+135+1817</f>
        <v>283982</v>
      </c>
      <c r="N368" s="10">
        <f>10582+21229+241965+135+1809</f>
        <v>275720</v>
      </c>
      <c r="O368" s="10">
        <f>17506+21757+248653+134+1802</f>
        <v>289852</v>
      </c>
      <c r="P368" s="10">
        <f>19291+21019+239539+133</f>
        <v>279982</v>
      </c>
      <c r="Q368" s="10">
        <f>25997+21662+193451+133</f>
        <v>241243</v>
      </c>
      <c r="R368" s="10">
        <f>12008+19671+191568</f>
        <v>223247</v>
      </c>
      <c r="S368" s="10">
        <f>5332+16671+172192</f>
        <v>194195</v>
      </c>
      <c r="T368" s="10">
        <f>2389+17917+131976</f>
        <v>152282</v>
      </c>
      <c r="U368" s="6"/>
      <c r="V368" s="6"/>
      <c r="W368" s="6"/>
      <c r="X368" s="6"/>
      <c r="Y368" s="6"/>
      <c r="Z368" s="6"/>
      <c r="AA368" s="6"/>
    </row>
    <row r="369" spans="2:35" s="7" customFormat="1" x14ac:dyDescent="0.2">
      <c r="C369" t="s">
        <v>147</v>
      </c>
      <c r="F369" s="10">
        <f>F368/31</f>
        <v>12134.193548387097</v>
      </c>
      <c r="G369" s="10">
        <v>11992</v>
      </c>
      <c r="H369" s="10">
        <f>H368/31</f>
        <v>11164.451612903225</v>
      </c>
      <c r="I369" s="10">
        <f>I368/30</f>
        <v>10471.200000000001</v>
      </c>
      <c r="J369" s="10">
        <f>J368/31</f>
        <v>9710.4193548387102</v>
      </c>
      <c r="K369" s="10">
        <f>K368/30</f>
        <v>9250.2333333333336</v>
      </c>
      <c r="L369" s="10">
        <f>L368/31</f>
        <v>9203.4838709677424</v>
      </c>
      <c r="M369" s="10">
        <f>M368/31</f>
        <v>9160.7096774193542</v>
      </c>
      <c r="N369" s="10">
        <f>N368/30</f>
        <v>9190.6666666666661</v>
      </c>
      <c r="O369" s="10">
        <f>O368/31</f>
        <v>9350.0645161290322</v>
      </c>
      <c r="P369" s="10">
        <f>P368/30</f>
        <v>9332.7333333333336</v>
      </c>
      <c r="Q369" s="10">
        <f>Q368/31</f>
        <v>7782.0322580645161</v>
      </c>
      <c r="R369" s="10">
        <f>R368/31</f>
        <v>7201.5161290322585</v>
      </c>
      <c r="S369" s="10">
        <f>S368/28</f>
        <v>6935.5357142857147</v>
      </c>
      <c r="T369" s="10">
        <f>T368/31</f>
        <v>4912.322580645161</v>
      </c>
      <c r="U369" s="6"/>
      <c r="V369" s="6"/>
      <c r="W369" s="6"/>
      <c r="X369" s="6"/>
      <c r="Y369" s="6"/>
      <c r="Z369" s="6"/>
      <c r="AA369" s="6"/>
    </row>
    <row r="370" spans="2:35" x14ac:dyDescent="0.2">
      <c r="C370" t="s">
        <v>116</v>
      </c>
      <c r="F370" s="10">
        <f>11618+4118</f>
        <v>15736</v>
      </c>
      <c r="G370" s="10">
        <f>11618+4118</f>
        <v>15736</v>
      </c>
      <c r="H370" s="10">
        <f>11618+4118</f>
        <v>15736</v>
      </c>
      <c r="I370" s="10">
        <v>11618</v>
      </c>
      <c r="J370" s="10">
        <v>11618</v>
      </c>
      <c r="K370" s="10">
        <v>11618</v>
      </c>
      <c r="L370" s="10">
        <v>11618</v>
      </c>
      <c r="M370" s="10">
        <v>11618</v>
      </c>
      <c r="N370" s="10">
        <v>11618</v>
      </c>
      <c r="O370" s="10">
        <v>11618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6"/>
      <c r="V370" s="6"/>
      <c r="W370" s="6"/>
      <c r="X370" s="6"/>
      <c r="Y370" s="6"/>
      <c r="Z370" s="6"/>
      <c r="AA370" s="6"/>
    </row>
    <row r="371" spans="2:35" x14ac:dyDescent="0.2">
      <c r="C371" t="s">
        <v>5</v>
      </c>
      <c r="F371" s="5" t="s">
        <v>107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2:35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2:35" x14ac:dyDescent="0.2">
      <c r="B373" s="3" t="s">
        <v>38</v>
      </c>
      <c r="C373" s="3" t="s">
        <v>43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2:35" x14ac:dyDescent="0.2">
      <c r="D374" t="s">
        <v>123</v>
      </c>
      <c r="F374" s="5">
        <f>$F$17+$F$18</f>
        <v>0.22750000000000001</v>
      </c>
      <c r="G374" s="5">
        <f>$G$17+$G$18</f>
        <v>0.22750000000000001</v>
      </c>
      <c r="H374" s="5">
        <f>$H$17+$H$18</f>
        <v>0.19750000000000001</v>
      </c>
      <c r="I374" s="5">
        <f>$I$17+$I$18</f>
        <v>0.1575</v>
      </c>
      <c r="J374" s="5">
        <f>$J$17+$J$18</f>
        <v>0.11749999999999999</v>
      </c>
      <c r="K374" s="5">
        <f>$K$17+$K$18</f>
        <v>0.11749999999999999</v>
      </c>
      <c r="L374" s="5">
        <f>$L$17+$L$18</f>
        <v>0.11749999999999999</v>
      </c>
      <c r="M374" s="5">
        <f>$M$17+$M$18</f>
        <v>0.11749999999999999</v>
      </c>
      <c r="N374" s="5">
        <f>$N$17+$N$18</f>
        <v>0.11749999999999999</v>
      </c>
      <c r="O374" s="5">
        <f>$O$17+$O$18</f>
        <v>0.1575</v>
      </c>
      <c r="P374" s="5">
        <f>$P$17+$P$18</f>
        <v>0.20250000000000001</v>
      </c>
      <c r="Q374" s="5">
        <f>$Q$17+$Q$18</f>
        <v>0.21250000000000002</v>
      </c>
      <c r="R374" s="5">
        <f>$R$17+$R$18</f>
        <v>0.23250000000000001</v>
      </c>
      <c r="S374" s="5">
        <f>$S$17+$S$18</f>
        <v>0.23250000000000001</v>
      </c>
      <c r="T374" s="5">
        <f>$T$17+$T$18</f>
        <v>0.20250000000000001</v>
      </c>
    </row>
    <row r="375" spans="2:35" x14ac:dyDescent="0.2">
      <c r="D375" t="s">
        <v>124</v>
      </c>
      <c r="F375" s="5">
        <f>$F$17+$F$18</f>
        <v>0.22750000000000001</v>
      </c>
      <c r="G375" s="5">
        <f>$G$17+$G$18</f>
        <v>0.22750000000000001</v>
      </c>
      <c r="H375" s="5">
        <f>$H$17+$H$18</f>
        <v>0.19750000000000001</v>
      </c>
      <c r="I375" s="5">
        <f>$I$17+$I$18</f>
        <v>0.1575</v>
      </c>
      <c r="J375" s="5">
        <f>$J$17+$J$18</f>
        <v>0.11749999999999999</v>
      </c>
      <c r="K375" s="5">
        <f>$K$17+$K$18</f>
        <v>0.11749999999999999</v>
      </c>
      <c r="L375" s="5">
        <f>$L$17+$L$18</f>
        <v>0.11749999999999999</v>
      </c>
      <c r="M375" s="5">
        <f>$M$17+$M$18</f>
        <v>0.11749999999999999</v>
      </c>
      <c r="N375" s="5">
        <f>$N$17+$N$18</f>
        <v>0.11749999999999999</v>
      </c>
      <c r="O375" s="5">
        <f>$O$17+$O$18</f>
        <v>0.1575</v>
      </c>
      <c r="P375" s="5">
        <f>$P$17+$P$18</f>
        <v>0.20250000000000001</v>
      </c>
      <c r="Q375" s="5">
        <f>$Q$17+$Q$18</f>
        <v>0.21250000000000002</v>
      </c>
      <c r="R375" s="5">
        <f>$R$17+$R$18</f>
        <v>0.23250000000000001</v>
      </c>
      <c r="S375" s="5">
        <f>$S$17+$S$18</f>
        <v>0.23250000000000001</v>
      </c>
      <c r="T375" s="5">
        <f>$T$17+$T$18</f>
        <v>0.20250000000000001</v>
      </c>
    </row>
    <row r="376" spans="2:35" x14ac:dyDescent="0.2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2:35" hidden="1" x14ac:dyDescent="0.2">
      <c r="C377" t="s">
        <v>146</v>
      </c>
      <c r="F377" s="10">
        <f>74495+775</f>
        <v>75270</v>
      </c>
      <c r="G377" s="10">
        <f>56829+775</f>
        <v>57604</v>
      </c>
      <c r="H377" s="10">
        <f>51253+725</f>
        <v>51978</v>
      </c>
      <c r="I377" s="10">
        <f>37705+775</f>
        <v>38480</v>
      </c>
      <c r="J377" s="10">
        <f>3411+750</f>
        <v>4161</v>
      </c>
      <c r="K377" s="10">
        <f>14820+775</f>
        <v>15595</v>
      </c>
      <c r="L377" s="10">
        <f>5921+750</f>
        <v>6671</v>
      </c>
      <c r="M377" s="10">
        <f>5921+775</f>
        <v>6696</v>
      </c>
      <c r="N377" s="10">
        <v>2730</v>
      </c>
      <c r="O377" s="10">
        <v>2730</v>
      </c>
      <c r="P377" s="10">
        <v>3131</v>
      </c>
      <c r="Q377" s="10">
        <v>31</v>
      </c>
      <c r="R377" s="10">
        <v>31</v>
      </c>
      <c r="S377" s="10">
        <v>532</v>
      </c>
      <c r="T377" s="10">
        <v>583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2:35" s="7" customFormat="1" x14ac:dyDescent="0.2">
      <c r="C378" t="s">
        <v>146</v>
      </c>
      <c r="F378" s="10">
        <f>F377/31</f>
        <v>2428.0645161290322</v>
      </c>
      <c r="G378" s="10">
        <f>G377/29</f>
        <v>1986.344827586207</v>
      </c>
      <c r="H378" s="10">
        <f>H377/31</f>
        <v>1676.7096774193549</v>
      </c>
      <c r="I378" s="10">
        <f>I377/30</f>
        <v>1282.6666666666667</v>
      </c>
      <c r="J378" s="10">
        <f>J377/31</f>
        <v>134.2258064516129</v>
      </c>
      <c r="K378" s="10">
        <f>K377/30</f>
        <v>519.83333333333337</v>
      </c>
      <c r="L378" s="10">
        <f>L377/31</f>
        <v>215.19354838709677</v>
      </c>
      <c r="M378" s="10">
        <f>M377/31</f>
        <v>216</v>
      </c>
      <c r="N378" s="10">
        <f>N377/30</f>
        <v>91</v>
      </c>
      <c r="O378" s="10">
        <f>O377/31</f>
        <v>88.064516129032256</v>
      </c>
      <c r="P378" s="10">
        <f>P377/30</f>
        <v>104.36666666666666</v>
      </c>
      <c r="Q378" s="10">
        <f>Q377/31</f>
        <v>1</v>
      </c>
      <c r="R378" s="10">
        <f>R377/31</f>
        <v>1</v>
      </c>
      <c r="S378" s="10">
        <f>S377/28</f>
        <v>19</v>
      </c>
      <c r="T378" s="10">
        <f>T377/31</f>
        <v>18.806451612903224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2:35" x14ac:dyDescent="0.2">
      <c r="C379" t="s">
        <v>116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2:35" x14ac:dyDescent="0.2">
      <c r="C380" t="s">
        <v>147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2:35" x14ac:dyDescent="0.2">
      <c r="C381" t="s">
        <v>116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2:35" x14ac:dyDescent="0.2">
      <c r="C382" t="s">
        <v>5</v>
      </c>
      <c r="F382" s="5" t="s">
        <v>108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2:35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2:35" x14ac:dyDescent="0.2">
      <c r="B384" s="3" t="s">
        <v>38</v>
      </c>
      <c r="C384" s="3" t="s">
        <v>44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2:20" x14ac:dyDescent="0.2">
      <c r="D385" t="s">
        <v>123</v>
      </c>
      <c r="F385" s="5">
        <f>$F$17+$F$18</f>
        <v>0.22750000000000001</v>
      </c>
      <c r="G385" s="5">
        <f>$G$17+$G$18</f>
        <v>0.22750000000000001</v>
      </c>
      <c r="H385" s="5">
        <f>$H$17+$H$18</f>
        <v>0.19750000000000001</v>
      </c>
      <c r="I385" s="5">
        <f>$I$17+$I$18</f>
        <v>0.1575</v>
      </c>
      <c r="J385" s="5">
        <f>$J$17+$J$18</f>
        <v>0.11749999999999999</v>
      </c>
      <c r="K385" s="5">
        <f>$K$17+$K$18</f>
        <v>0.11749999999999999</v>
      </c>
      <c r="L385" s="5">
        <f>$L$17+$L$18</f>
        <v>0.11749999999999999</v>
      </c>
      <c r="M385" s="5">
        <f>$M$17+$M$18</f>
        <v>0.11749999999999999</v>
      </c>
      <c r="N385" s="5">
        <f>$N$17+$N$18</f>
        <v>0.11749999999999999</v>
      </c>
      <c r="O385" s="5">
        <f>$O$17+$O$18</f>
        <v>0.1575</v>
      </c>
      <c r="P385" s="5">
        <f>$P$17+$P$18</f>
        <v>0.20250000000000001</v>
      </c>
      <c r="Q385" s="5">
        <f>$Q$17+$Q$18</f>
        <v>0.21250000000000002</v>
      </c>
      <c r="R385" s="5">
        <f>$R$17+$R$18</f>
        <v>0.23250000000000001</v>
      </c>
      <c r="S385" s="5">
        <f>$S$17+$S$18</f>
        <v>0.23250000000000001</v>
      </c>
      <c r="T385" s="5">
        <f>$T$17+$T$18</f>
        <v>0.20250000000000001</v>
      </c>
    </row>
    <row r="386" spans="2:20" x14ac:dyDescent="0.2">
      <c r="D386" t="s">
        <v>124</v>
      </c>
      <c r="F386" s="5">
        <f>$F$17+$F$18</f>
        <v>0.22750000000000001</v>
      </c>
      <c r="G386" s="5">
        <f>$G$17+$G$18</f>
        <v>0.22750000000000001</v>
      </c>
      <c r="H386" s="5">
        <f>$H$17+$H$18</f>
        <v>0.19750000000000001</v>
      </c>
      <c r="I386" s="5">
        <f>$I$17+$I$18</f>
        <v>0.1575</v>
      </c>
      <c r="J386" s="5">
        <f>$J$17+$J$18</f>
        <v>0.11749999999999999</v>
      </c>
      <c r="K386" s="5">
        <f>$K$17+$K$18</f>
        <v>0.11749999999999999</v>
      </c>
      <c r="L386" s="5">
        <f>$L$17+$L$18</f>
        <v>0.11749999999999999</v>
      </c>
      <c r="M386" s="5">
        <f>$M$17+$M$18</f>
        <v>0.11749999999999999</v>
      </c>
      <c r="N386" s="5">
        <f>$N$17+$N$18</f>
        <v>0.11749999999999999</v>
      </c>
      <c r="O386" s="5">
        <f>$O$17+$O$18</f>
        <v>0.1575</v>
      </c>
      <c r="P386" s="5">
        <f>$P$17+$P$18</f>
        <v>0.20250000000000001</v>
      </c>
      <c r="Q386" s="5">
        <f>$Q$17+$Q$18</f>
        <v>0.21250000000000002</v>
      </c>
      <c r="R386" s="5">
        <f>$R$17+$R$18</f>
        <v>0.23250000000000001</v>
      </c>
      <c r="S386" s="5">
        <f>$S$17+$S$18</f>
        <v>0.23250000000000001</v>
      </c>
      <c r="T386" s="5">
        <f>$T$17+$T$18</f>
        <v>0.20250000000000001</v>
      </c>
    </row>
    <row r="387" spans="2:20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2:20" hidden="1" x14ac:dyDescent="0.2">
      <c r="C388" t="s">
        <v>146</v>
      </c>
      <c r="F388" s="8">
        <v>4403</v>
      </c>
      <c r="G388" s="8">
        <v>4341</v>
      </c>
      <c r="H388" s="8">
        <v>1758</v>
      </c>
      <c r="I388" s="8">
        <v>1535</v>
      </c>
      <c r="J388" s="8">
        <v>1235</v>
      </c>
      <c r="K388" s="8">
        <v>2081</v>
      </c>
      <c r="L388" s="8">
        <v>1049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2:20" s="7" customFormat="1" x14ac:dyDescent="0.2">
      <c r="C389" t="s">
        <v>146</v>
      </c>
      <c r="F389" s="9">
        <f>F388/31</f>
        <v>142.03225806451613</v>
      </c>
      <c r="G389" s="9">
        <f>G388/29</f>
        <v>149.68965517241378</v>
      </c>
      <c r="H389" s="9">
        <f>H388/31</f>
        <v>56.70967741935484</v>
      </c>
      <c r="I389" s="9">
        <f>I388/30</f>
        <v>51.166666666666664</v>
      </c>
      <c r="J389" s="9">
        <f>J388/31</f>
        <v>39.838709677419352</v>
      </c>
      <c r="K389" s="9">
        <f>K388/30</f>
        <v>69.36666666666666</v>
      </c>
      <c r="L389" s="9">
        <f>L388/31</f>
        <v>33.838709677419352</v>
      </c>
      <c r="M389" s="9">
        <f>M388/31</f>
        <v>0</v>
      </c>
      <c r="N389" s="9">
        <f>N388/30</f>
        <v>0</v>
      </c>
      <c r="O389" s="9">
        <f>O388/31</f>
        <v>0</v>
      </c>
      <c r="P389" s="9">
        <f>P388/30</f>
        <v>0</v>
      </c>
      <c r="Q389" s="9">
        <f>Q388/31</f>
        <v>0</v>
      </c>
      <c r="R389" s="9">
        <f>R388/31</f>
        <v>0</v>
      </c>
      <c r="S389" s="9">
        <f>S388/28</f>
        <v>0</v>
      </c>
      <c r="T389" s="9">
        <f>T388/31</f>
        <v>0</v>
      </c>
    </row>
    <row r="390" spans="2:20" x14ac:dyDescent="0.2">
      <c r="C390" t="s">
        <v>116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</row>
    <row r="391" spans="2:20" hidden="1" x14ac:dyDescent="0.2">
      <c r="C391" t="s">
        <v>147</v>
      </c>
      <c r="F391" s="8">
        <f>518+3200+1260+63</f>
        <v>5041</v>
      </c>
      <c r="G391" s="8">
        <f>469+2887+1260+63</f>
        <v>4679</v>
      </c>
      <c r="H391" s="8">
        <f>482+3187+1260+63</f>
        <v>4992</v>
      </c>
      <c r="I391" s="8">
        <f>463+3081+1260+62</f>
        <v>4866</v>
      </c>
      <c r="J391" s="8">
        <f>468+3139+1259+62</f>
        <v>4928</v>
      </c>
      <c r="K391" s="8">
        <f>452+3021+39+62</f>
        <v>3574</v>
      </c>
      <c r="L391" s="8">
        <f>466+3116+39+61</f>
        <v>3682</v>
      </c>
      <c r="M391" s="8">
        <f>464+3100+39+61</f>
        <v>3664</v>
      </c>
      <c r="N391" s="8">
        <f>438+2986+39+61</f>
        <v>3524</v>
      </c>
      <c r="O391" s="8">
        <f>449+3069+39+61</f>
        <v>3618</v>
      </c>
      <c r="P391" s="8">
        <f>433+2956+38</f>
        <v>3427</v>
      </c>
      <c r="Q391" s="8">
        <f>447+2387+38</f>
        <v>2872</v>
      </c>
      <c r="R391" s="8">
        <f>406+2364</f>
        <v>2770</v>
      </c>
      <c r="S391" s="8">
        <f>344+2125</f>
        <v>2469</v>
      </c>
      <c r="T391" s="8">
        <f>369+1629</f>
        <v>1998</v>
      </c>
    </row>
    <row r="392" spans="2:20" s="7" customFormat="1" x14ac:dyDescent="0.2">
      <c r="C392" t="s">
        <v>147</v>
      </c>
      <c r="F392" s="9">
        <f>F391/31</f>
        <v>162.61290322580646</v>
      </c>
      <c r="G392" s="9">
        <v>166</v>
      </c>
      <c r="H392" s="9">
        <f>H391/31</f>
        <v>161.03225806451613</v>
      </c>
      <c r="I392" s="9">
        <f>I391/30</f>
        <v>162.19999999999999</v>
      </c>
      <c r="J392" s="9">
        <f>J391/31</f>
        <v>158.96774193548387</v>
      </c>
      <c r="K392" s="9">
        <f>K391/30</f>
        <v>119.13333333333334</v>
      </c>
      <c r="L392" s="9">
        <f>L391/31</f>
        <v>118.7741935483871</v>
      </c>
      <c r="M392" s="9">
        <f>M391/31</f>
        <v>118.19354838709677</v>
      </c>
      <c r="N392" s="9">
        <f>N391/30</f>
        <v>117.46666666666667</v>
      </c>
      <c r="O392" s="9">
        <f>O391/31</f>
        <v>116.70967741935483</v>
      </c>
      <c r="P392" s="9">
        <f>P391/30</f>
        <v>114.23333333333333</v>
      </c>
      <c r="Q392" s="9">
        <f>Q391/31</f>
        <v>92.645161290322577</v>
      </c>
      <c r="R392" s="9">
        <f>R391/31</f>
        <v>89.354838709677423</v>
      </c>
      <c r="S392" s="9">
        <f>S391/28</f>
        <v>88.178571428571431</v>
      </c>
      <c r="T392" s="9">
        <f>T391/31</f>
        <v>64.451612903225808</v>
      </c>
    </row>
    <row r="393" spans="2:20" x14ac:dyDescent="0.2">
      <c r="C393" t="s">
        <v>116</v>
      </c>
      <c r="F393" s="6">
        <v>123</v>
      </c>
      <c r="G393" s="6">
        <v>123</v>
      </c>
      <c r="H393" s="6">
        <v>123</v>
      </c>
      <c r="I393" s="6">
        <v>123</v>
      </c>
      <c r="J393" s="6">
        <v>123</v>
      </c>
      <c r="K393" s="6">
        <v>123</v>
      </c>
      <c r="L393" s="6">
        <v>123</v>
      </c>
      <c r="M393" s="6">
        <v>123</v>
      </c>
      <c r="N393" s="6">
        <v>123</v>
      </c>
      <c r="O393" s="6">
        <v>123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</row>
    <row r="394" spans="2:20" x14ac:dyDescent="0.2">
      <c r="C394" t="s">
        <v>5</v>
      </c>
      <c r="F394" s="5" t="s">
        <v>109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2:20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2:20" x14ac:dyDescent="0.2">
      <c r="B396" s="3" t="s">
        <v>38</v>
      </c>
      <c r="C396" s="3" t="s">
        <v>45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2:20" x14ac:dyDescent="0.2">
      <c r="D397" t="s">
        <v>123</v>
      </c>
      <c r="F397" s="5">
        <f>$F$17+$F$18</f>
        <v>0.22750000000000001</v>
      </c>
      <c r="G397" s="5">
        <f>$G$17+$G$18</f>
        <v>0.22750000000000001</v>
      </c>
      <c r="H397" s="5">
        <f>$H$17+$H$18</f>
        <v>0.19750000000000001</v>
      </c>
      <c r="I397" s="5">
        <f>$I$17+$I$18</f>
        <v>0.1575</v>
      </c>
      <c r="J397" s="5">
        <f>$J$17+$J$18</f>
        <v>0.11749999999999999</v>
      </c>
      <c r="K397" s="5">
        <f>$K$17+$K$18</f>
        <v>0.11749999999999999</v>
      </c>
      <c r="L397" s="5">
        <f>$L$17+$L$18</f>
        <v>0.11749999999999999</v>
      </c>
      <c r="M397" s="5">
        <f>$M$17+$M$18</f>
        <v>0.11749999999999999</v>
      </c>
      <c r="N397" s="5">
        <f>$N$17+$N$18</f>
        <v>0.11749999999999999</v>
      </c>
      <c r="O397" s="5">
        <f>$O$17+$O$18</f>
        <v>0.1575</v>
      </c>
      <c r="P397" s="5">
        <f>$P$17+$P$18</f>
        <v>0.20250000000000001</v>
      </c>
      <c r="Q397" s="5">
        <f>$Q$17+$Q$18</f>
        <v>0.21250000000000002</v>
      </c>
      <c r="R397" s="5">
        <f>$R$17+$R$18</f>
        <v>0.23250000000000001</v>
      </c>
      <c r="S397" s="5">
        <f>$S$17+$S$18</f>
        <v>0.23250000000000001</v>
      </c>
      <c r="T397" s="5">
        <f>$T$17+$T$18</f>
        <v>0.20250000000000001</v>
      </c>
    </row>
    <row r="398" spans="2:20" x14ac:dyDescent="0.2">
      <c r="D398" t="s">
        <v>124</v>
      </c>
      <c r="F398" s="5">
        <f>$F$17+$F$18</f>
        <v>0.22750000000000001</v>
      </c>
      <c r="G398" s="5">
        <f>$G$17+$G$18</f>
        <v>0.22750000000000001</v>
      </c>
      <c r="H398" s="5">
        <f>$H$17+$H$18</f>
        <v>0.19750000000000001</v>
      </c>
      <c r="I398" s="5">
        <f>$I$17+$I$18</f>
        <v>0.1575</v>
      </c>
      <c r="J398" s="5">
        <f>$J$17+$J$18</f>
        <v>0.11749999999999999</v>
      </c>
      <c r="K398" s="5">
        <f>$K$17+$K$18</f>
        <v>0.11749999999999999</v>
      </c>
      <c r="L398" s="5">
        <f>$L$17+$L$18</f>
        <v>0.11749999999999999</v>
      </c>
      <c r="M398" s="5">
        <f>$M$17+$M$18</f>
        <v>0.11749999999999999</v>
      </c>
      <c r="N398" s="5">
        <f>$N$17+$N$18</f>
        <v>0.11749999999999999</v>
      </c>
      <c r="O398" s="5">
        <f>$O$17+$O$18</f>
        <v>0.1575</v>
      </c>
      <c r="P398" s="5">
        <f>$P$17+$P$18</f>
        <v>0.20250000000000001</v>
      </c>
      <c r="Q398" s="5">
        <f>$Q$17+$Q$18</f>
        <v>0.21250000000000002</v>
      </c>
      <c r="R398" s="5">
        <f>$R$17+$R$18</f>
        <v>0.23250000000000001</v>
      </c>
      <c r="S398" s="5">
        <f>$S$17+$S$18</f>
        <v>0.23250000000000001</v>
      </c>
      <c r="T398" s="5">
        <f>$T$17+$T$18</f>
        <v>0.20250000000000001</v>
      </c>
    </row>
    <row r="399" spans="2:20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2:20" hidden="1" x14ac:dyDescent="0.2">
      <c r="C400" t="s">
        <v>146</v>
      </c>
      <c r="F400" s="8">
        <v>11071</v>
      </c>
      <c r="G400" s="8">
        <v>10456</v>
      </c>
      <c r="H400" s="8">
        <v>5570</v>
      </c>
      <c r="I400" s="8">
        <v>10029</v>
      </c>
      <c r="J400" s="8">
        <v>7961</v>
      </c>
      <c r="K400" s="8">
        <v>7265</v>
      </c>
      <c r="L400" s="8">
        <v>7224</v>
      </c>
      <c r="M400" s="8">
        <v>8552</v>
      </c>
      <c r="N400" s="8">
        <v>8172</v>
      </c>
      <c r="O400" s="8">
        <v>8172</v>
      </c>
      <c r="P400" s="8">
        <v>8415</v>
      </c>
      <c r="Q400" s="8">
        <v>8675</v>
      </c>
      <c r="R400" s="8">
        <v>8625</v>
      </c>
      <c r="S400" s="8">
        <v>7774</v>
      </c>
      <c r="T400" s="8">
        <v>8675</v>
      </c>
    </row>
    <row r="401" spans="2:20" s="7" customFormat="1" x14ac:dyDescent="0.2">
      <c r="C401" t="s">
        <v>146</v>
      </c>
      <c r="F401" s="9">
        <f>F400/31</f>
        <v>357.12903225806451</v>
      </c>
      <c r="G401" s="9">
        <f>G400/29</f>
        <v>360.55172413793105</v>
      </c>
      <c r="H401" s="9">
        <f>H400/31</f>
        <v>179.67741935483872</v>
      </c>
      <c r="I401" s="9">
        <f>I400/30</f>
        <v>334.3</v>
      </c>
      <c r="J401" s="9">
        <f>J400/31</f>
        <v>256.80645161290323</v>
      </c>
      <c r="K401" s="9">
        <f>K400/30</f>
        <v>242.16666666666666</v>
      </c>
      <c r="L401" s="9">
        <f>L400/31</f>
        <v>233.03225806451613</v>
      </c>
      <c r="M401" s="9">
        <f>M400/31</f>
        <v>275.87096774193549</v>
      </c>
      <c r="N401" s="9">
        <f>N400/30</f>
        <v>272.39999999999998</v>
      </c>
      <c r="O401" s="9">
        <f>O400/31</f>
        <v>263.61290322580646</v>
      </c>
      <c r="P401" s="9">
        <f>P400/30</f>
        <v>280.5</v>
      </c>
      <c r="Q401" s="9">
        <f>Q400/31</f>
        <v>279.83870967741933</v>
      </c>
      <c r="R401" s="9">
        <f>R400/31</f>
        <v>278.22580645161293</v>
      </c>
      <c r="S401" s="9">
        <f>S400/28</f>
        <v>277.64285714285717</v>
      </c>
      <c r="T401" s="9">
        <f>T400/31</f>
        <v>279.83870967741933</v>
      </c>
    </row>
    <row r="402" spans="2:20" x14ac:dyDescent="0.2">
      <c r="C402" t="s">
        <v>116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</row>
    <row r="403" spans="2:20" hidden="1" x14ac:dyDescent="0.2">
      <c r="C403" t="s">
        <v>147</v>
      </c>
      <c r="F403" s="8">
        <f>1719+327+3929</f>
        <v>5975</v>
      </c>
      <c r="G403" s="8">
        <f>1505+295+3538</f>
        <v>5338</v>
      </c>
      <c r="H403" s="8">
        <f>1173+303+3906</f>
        <v>5382</v>
      </c>
      <c r="I403" s="8">
        <f>721+291+3776</f>
        <v>4788</v>
      </c>
      <c r="J403" s="8">
        <f>357+294+3848</f>
        <v>4499</v>
      </c>
      <c r="K403" s="8">
        <f>179+284+3703</f>
        <v>4166</v>
      </c>
      <c r="L403" s="8">
        <f>167+293+3819</f>
        <v>4279</v>
      </c>
      <c r="M403" s="8">
        <f>168+291+3800</f>
        <v>4259</v>
      </c>
      <c r="N403" s="8">
        <f>213+275+3660</f>
        <v>4148</v>
      </c>
      <c r="O403" s="8">
        <f>353+282+3761</f>
        <v>4396</v>
      </c>
      <c r="P403" s="8">
        <f>391+272+3624</f>
        <v>4287</v>
      </c>
      <c r="Q403" s="8">
        <f>527+281+2926</f>
        <v>3734</v>
      </c>
      <c r="R403" s="8">
        <f>249+255+2898</f>
        <v>3402</v>
      </c>
      <c r="S403" s="8">
        <f>113+216+2605</f>
        <v>2934</v>
      </c>
      <c r="T403" s="8">
        <f>52+232+1996</f>
        <v>2280</v>
      </c>
    </row>
    <row r="404" spans="2:20" s="7" customFormat="1" x14ac:dyDescent="0.2">
      <c r="C404" t="s">
        <v>147</v>
      </c>
      <c r="F404" s="9">
        <f>F403/31</f>
        <v>192.74193548387098</v>
      </c>
      <c r="G404" s="9">
        <v>190</v>
      </c>
      <c r="H404" s="9">
        <f>H403/31</f>
        <v>173.61290322580646</v>
      </c>
      <c r="I404" s="9">
        <f>I403/30</f>
        <v>159.6</v>
      </c>
      <c r="J404" s="9">
        <f>J403/31</f>
        <v>145.12903225806451</v>
      </c>
      <c r="K404" s="9">
        <f>K403/30</f>
        <v>138.86666666666667</v>
      </c>
      <c r="L404" s="9">
        <f>L403/31</f>
        <v>138.03225806451613</v>
      </c>
      <c r="M404" s="9">
        <f>M403/31</f>
        <v>137.38709677419354</v>
      </c>
      <c r="N404" s="9">
        <f>N403/30</f>
        <v>138.26666666666668</v>
      </c>
      <c r="O404" s="9">
        <f>O403/31</f>
        <v>141.80645161290323</v>
      </c>
      <c r="P404" s="9">
        <f>P403/30</f>
        <v>142.9</v>
      </c>
      <c r="Q404" s="9">
        <f>Q403/31</f>
        <v>120.45161290322581</v>
      </c>
      <c r="R404" s="9">
        <f>R403/31</f>
        <v>109.74193548387096</v>
      </c>
      <c r="S404" s="9">
        <f>S403/28</f>
        <v>104.78571428571429</v>
      </c>
      <c r="T404" s="9">
        <f>T403/31</f>
        <v>73.548387096774192</v>
      </c>
    </row>
    <row r="405" spans="2:20" x14ac:dyDescent="0.2">
      <c r="C405" t="s">
        <v>116</v>
      </c>
      <c r="F405" s="6">
        <f>138+81</f>
        <v>219</v>
      </c>
      <c r="G405" s="6">
        <f>138+81</f>
        <v>219</v>
      </c>
      <c r="H405" s="6">
        <f>138+81</f>
        <v>219</v>
      </c>
      <c r="I405" s="6">
        <v>138</v>
      </c>
      <c r="J405" s="6">
        <v>138</v>
      </c>
      <c r="K405" s="6">
        <v>138</v>
      </c>
      <c r="L405" s="6">
        <v>138</v>
      </c>
      <c r="M405" s="6">
        <v>138</v>
      </c>
      <c r="N405" s="6">
        <v>138</v>
      </c>
      <c r="O405" s="6">
        <v>138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</row>
    <row r="406" spans="2:20" x14ac:dyDescent="0.2">
      <c r="C406" t="s">
        <v>5</v>
      </c>
      <c r="F406" s="5" t="s">
        <v>110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2:20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2:20" x14ac:dyDescent="0.2">
      <c r="B408" s="3" t="s">
        <v>38</v>
      </c>
      <c r="C408" s="3" t="s">
        <v>46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2:20" x14ac:dyDescent="0.2">
      <c r="D409" t="s">
        <v>123</v>
      </c>
      <c r="F409" s="5">
        <f>$F$17+$F$18</f>
        <v>0.22750000000000001</v>
      </c>
      <c r="G409" s="5">
        <f>$G$17+$G$18</f>
        <v>0.22750000000000001</v>
      </c>
      <c r="H409" s="5">
        <f>$H$17+$H$18</f>
        <v>0.19750000000000001</v>
      </c>
      <c r="I409" s="5">
        <f>$I$17+$I$18</f>
        <v>0.1575</v>
      </c>
      <c r="J409" s="5">
        <f>$J$17+$J$18</f>
        <v>0.11749999999999999</v>
      </c>
      <c r="K409" s="5">
        <f>$K$17+$K$18</f>
        <v>0.11749999999999999</v>
      </c>
      <c r="L409" s="5">
        <f>$L$17+$L$18</f>
        <v>0.11749999999999999</v>
      </c>
      <c r="M409" s="5">
        <f>$M$17+$M$18</f>
        <v>0.11749999999999999</v>
      </c>
      <c r="N409" s="5">
        <f>$N$17+$N$18</f>
        <v>0.11749999999999999</v>
      </c>
      <c r="O409" s="5">
        <f>$O$17+$O$18</f>
        <v>0.1575</v>
      </c>
      <c r="P409" s="5">
        <f>$P$17+$P$18</f>
        <v>0.20250000000000001</v>
      </c>
      <c r="Q409" s="5">
        <f>$Q$17+$Q$18</f>
        <v>0.21250000000000002</v>
      </c>
      <c r="R409" s="5">
        <f>$R$17+$R$18</f>
        <v>0.23250000000000001</v>
      </c>
      <c r="S409" s="5">
        <f>$S$17+$S$18</f>
        <v>0.23250000000000001</v>
      </c>
      <c r="T409" s="5">
        <f>$T$17+$T$18</f>
        <v>0.20250000000000001</v>
      </c>
    </row>
    <row r="410" spans="2:20" x14ac:dyDescent="0.2">
      <c r="D410" t="s">
        <v>124</v>
      </c>
      <c r="F410" s="5">
        <f>$F$17+$F$18</f>
        <v>0.22750000000000001</v>
      </c>
      <c r="G410" s="5">
        <f>$G$17+$G$18</f>
        <v>0.22750000000000001</v>
      </c>
      <c r="H410" s="5">
        <f>$H$17+$H$18</f>
        <v>0.19750000000000001</v>
      </c>
      <c r="I410" s="5">
        <f>$I$17+$I$18</f>
        <v>0.1575</v>
      </c>
      <c r="J410" s="5">
        <f>$J$17+$J$18</f>
        <v>0.11749999999999999</v>
      </c>
      <c r="K410" s="5">
        <f>$K$17+$K$18</f>
        <v>0.11749999999999999</v>
      </c>
      <c r="L410" s="5">
        <f>$L$17+$L$18</f>
        <v>0.11749999999999999</v>
      </c>
      <c r="M410" s="5">
        <f>$M$17+$M$18</f>
        <v>0.11749999999999999</v>
      </c>
      <c r="N410" s="5">
        <f>$N$17+$N$18</f>
        <v>0.11749999999999999</v>
      </c>
      <c r="O410" s="5">
        <f>$O$17+$O$18</f>
        <v>0.1575</v>
      </c>
      <c r="P410" s="5">
        <f>$P$17+$P$18</f>
        <v>0.20250000000000001</v>
      </c>
      <c r="Q410" s="5">
        <f>$Q$17+$Q$18</f>
        <v>0.21250000000000002</v>
      </c>
      <c r="R410" s="5">
        <f>$R$17+$R$18</f>
        <v>0.23250000000000001</v>
      </c>
      <c r="S410" s="5">
        <f>$S$17+$S$18</f>
        <v>0.23250000000000001</v>
      </c>
      <c r="T410" s="5">
        <f>$T$17+$T$18</f>
        <v>0.20250000000000001</v>
      </c>
    </row>
    <row r="411" spans="2:20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2:20" x14ac:dyDescent="0.2">
      <c r="C412" t="s">
        <v>146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</row>
    <row r="413" spans="2:20" x14ac:dyDescent="0.2">
      <c r="C413" t="s">
        <v>116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</row>
    <row r="414" spans="2:20" x14ac:dyDescent="0.2">
      <c r="C414" t="s">
        <v>147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</row>
    <row r="415" spans="2:20" x14ac:dyDescent="0.2">
      <c r="C415" t="s">
        <v>116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</row>
    <row r="416" spans="2:20" x14ac:dyDescent="0.2">
      <c r="C416" t="s">
        <v>5</v>
      </c>
      <c r="F416" s="5" t="s">
        <v>111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2:2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2:24" x14ac:dyDescent="0.2">
      <c r="B418" s="3" t="s">
        <v>47</v>
      </c>
      <c r="C418" s="3" t="s">
        <v>48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2:24" x14ac:dyDescent="0.2">
      <c r="D419" t="s">
        <v>123</v>
      </c>
      <c r="F419" s="5">
        <f>$F$17+$F$18</f>
        <v>0.22750000000000001</v>
      </c>
      <c r="G419" s="5">
        <f>$G$17+$G$18</f>
        <v>0.22750000000000001</v>
      </c>
      <c r="H419" s="5">
        <f>$H$17+$H$18</f>
        <v>0.19750000000000001</v>
      </c>
      <c r="I419" s="5">
        <f>$I$17+$I$18</f>
        <v>0.1575</v>
      </c>
      <c r="J419" s="5">
        <f>$J$17+$J$18</f>
        <v>0.11749999999999999</v>
      </c>
      <c r="K419" s="5">
        <f>$K$17+$K$18</f>
        <v>0.11749999999999999</v>
      </c>
      <c r="L419" s="5">
        <f>$L$17+$L$18</f>
        <v>0.11749999999999999</v>
      </c>
      <c r="M419" s="5">
        <f>$M$17+$M$18</f>
        <v>0.11749999999999999</v>
      </c>
      <c r="N419" s="5">
        <f>$N$17+$N$18</f>
        <v>0.11749999999999999</v>
      </c>
      <c r="O419" s="5">
        <f>$O$17+$O$18</f>
        <v>0.1575</v>
      </c>
      <c r="P419" s="5">
        <f>$P$17+$P$18</f>
        <v>0.20250000000000001</v>
      </c>
      <c r="Q419" s="5">
        <f>$Q$17+$Q$18</f>
        <v>0.21250000000000002</v>
      </c>
      <c r="R419" s="5">
        <f>$R$17+$R$18</f>
        <v>0.23250000000000001</v>
      </c>
      <c r="S419" s="5">
        <f>$S$17+$S$18</f>
        <v>0.23250000000000001</v>
      </c>
      <c r="T419" s="5">
        <f>$T$17+$T$18</f>
        <v>0.20250000000000001</v>
      </c>
    </row>
    <row r="420" spans="2:24" x14ac:dyDescent="0.2">
      <c r="D420" t="s">
        <v>124</v>
      </c>
      <c r="F420" s="5">
        <f>$F$17+$F$18</f>
        <v>0.22750000000000001</v>
      </c>
      <c r="G420" s="5">
        <f>$G$17+$G$18</f>
        <v>0.22750000000000001</v>
      </c>
      <c r="H420" s="5">
        <f>$H$17+$H$18</f>
        <v>0.19750000000000001</v>
      </c>
      <c r="I420" s="5">
        <f>$I$17+$I$18</f>
        <v>0.1575</v>
      </c>
      <c r="J420" s="5">
        <f>$J$17+$J$18</f>
        <v>0.11749999999999999</v>
      </c>
      <c r="K420" s="5">
        <f>$K$17+$K$18</f>
        <v>0.11749999999999999</v>
      </c>
      <c r="L420" s="5">
        <f>$L$17+$L$18</f>
        <v>0.11749999999999999</v>
      </c>
      <c r="M420" s="5">
        <f>$M$17+$M$18</f>
        <v>0.11749999999999999</v>
      </c>
      <c r="N420" s="5">
        <f>$N$17+$N$18</f>
        <v>0.11749999999999999</v>
      </c>
      <c r="O420" s="5">
        <f>$O$17+$O$18</f>
        <v>0.1575</v>
      </c>
      <c r="P420" s="5">
        <f>$P$17+$P$18</f>
        <v>0.20250000000000001</v>
      </c>
      <c r="Q420" s="5">
        <f>$Q$17+$Q$18</f>
        <v>0.21250000000000002</v>
      </c>
      <c r="R420" s="5">
        <f>$R$17+$R$18</f>
        <v>0.23250000000000001</v>
      </c>
      <c r="S420" s="5">
        <f>$S$17+$S$18</f>
        <v>0.23250000000000001</v>
      </c>
      <c r="T420" s="5">
        <f>$T$17+$T$18</f>
        <v>0.20250000000000001</v>
      </c>
    </row>
    <row r="421" spans="2:24" x14ac:dyDescent="0.2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idden="1" x14ac:dyDescent="0.2">
      <c r="C422" t="s">
        <v>146</v>
      </c>
      <c r="F422" s="10">
        <v>256158</v>
      </c>
      <c r="G422" s="10">
        <v>234049</v>
      </c>
      <c r="H422" s="10">
        <v>235688</v>
      </c>
      <c r="I422" s="10">
        <v>161685</v>
      </c>
      <c r="J422" s="10">
        <v>153927</v>
      </c>
      <c r="K422" s="10">
        <v>106834</v>
      </c>
      <c r="L422" s="10">
        <v>46942</v>
      </c>
      <c r="M422" s="10">
        <v>52374</v>
      </c>
      <c r="N422" s="10">
        <v>51373</v>
      </c>
      <c r="O422" s="10">
        <v>51314</v>
      </c>
      <c r="P422" s="10">
        <v>17488</v>
      </c>
      <c r="Q422" s="10">
        <v>12214</v>
      </c>
      <c r="R422" s="10">
        <v>12307</v>
      </c>
      <c r="S422" s="10">
        <v>10808</v>
      </c>
      <c r="T422" s="10">
        <v>12803</v>
      </c>
      <c r="U422" s="6"/>
      <c r="V422" s="6"/>
      <c r="W422" s="6"/>
      <c r="X422" s="6"/>
    </row>
    <row r="423" spans="2:24" s="7" customFormat="1" x14ac:dyDescent="0.2">
      <c r="C423" t="s">
        <v>146</v>
      </c>
      <c r="F423" s="10">
        <f>F422/31</f>
        <v>8263.1612903225814</v>
      </c>
      <c r="G423" s="10">
        <f>G422/29</f>
        <v>8070.6551724137935</v>
      </c>
      <c r="H423" s="10">
        <f>H422/31</f>
        <v>7602.8387096774195</v>
      </c>
      <c r="I423" s="10">
        <f>I422/30</f>
        <v>5389.5</v>
      </c>
      <c r="J423" s="10">
        <f>J422/31</f>
        <v>4965.3870967741932</v>
      </c>
      <c r="K423" s="10">
        <f>K422/30</f>
        <v>3561.1333333333332</v>
      </c>
      <c r="L423" s="10">
        <f>L422/31</f>
        <v>1514.258064516129</v>
      </c>
      <c r="M423" s="10">
        <f>M422/31</f>
        <v>1689.483870967742</v>
      </c>
      <c r="N423" s="10">
        <f>N422/30</f>
        <v>1712.4333333333334</v>
      </c>
      <c r="O423" s="10">
        <f>O422/31</f>
        <v>1655.2903225806451</v>
      </c>
      <c r="P423" s="10">
        <f>P422/30</f>
        <v>582.93333333333328</v>
      </c>
      <c r="Q423" s="10">
        <f>Q422/31</f>
        <v>394</v>
      </c>
      <c r="R423" s="10">
        <f>R422/31</f>
        <v>397</v>
      </c>
      <c r="S423" s="10">
        <f>S422/28</f>
        <v>386</v>
      </c>
      <c r="T423" s="10">
        <f>T422/31</f>
        <v>413</v>
      </c>
      <c r="U423" s="6"/>
      <c r="V423" s="6"/>
      <c r="W423" s="6"/>
      <c r="X423" s="6"/>
    </row>
    <row r="424" spans="2:24" x14ac:dyDescent="0.2">
      <c r="C424" t="s">
        <v>116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/>
      <c r="V424" s="6"/>
      <c r="W424" s="6"/>
      <c r="X424" s="6"/>
    </row>
    <row r="425" spans="2:24" hidden="1" x14ac:dyDescent="0.2">
      <c r="C425" t="s">
        <v>147</v>
      </c>
      <c r="F425" s="10">
        <v>66678</v>
      </c>
      <c r="G425" s="10">
        <v>55419</v>
      </c>
      <c r="H425" s="10">
        <v>47971</v>
      </c>
      <c r="I425" s="10">
        <v>31127</v>
      </c>
      <c r="J425" s="10">
        <v>20039</v>
      </c>
      <c r="K425" s="10">
        <v>13200</v>
      </c>
      <c r="L425" s="10">
        <v>11938</v>
      </c>
      <c r="M425" s="10">
        <v>12146</v>
      </c>
      <c r="N425" s="10">
        <v>14493</v>
      </c>
      <c r="O425" s="10">
        <v>26251</v>
      </c>
      <c r="P425" s="10">
        <v>1103</v>
      </c>
      <c r="Q425" s="10">
        <v>1533</v>
      </c>
      <c r="R425" s="10">
        <v>1743</v>
      </c>
      <c r="S425" s="10">
        <v>1481</v>
      </c>
      <c r="T425" s="10">
        <v>1260</v>
      </c>
      <c r="U425" s="6"/>
      <c r="V425" s="6"/>
      <c r="W425" s="6"/>
      <c r="X425" s="6"/>
    </row>
    <row r="426" spans="2:24" s="7" customFormat="1" x14ac:dyDescent="0.2">
      <c r="C426" t="s">
        <v>147</v>
      </c>
      <c r="F426" s="10">
        <f>F425/31</f>
        <v>2150.9032258064517</v>
      </c>
      <c r="G426" s="10">
        <v>1968</v>
      </c>
      <c r="H426" s="10">
        <f>H425/31</f>
        <v>1547.4516129032259</v>
      </c>
      <c r="I426" s="10">
        <f>I425/30</f>
        <v>1037.5666666666666</v>
      </c>
      <c r="J426" s="10">
        <f>J425/31</f>
        <v>646.41935483870964</v>
      </c>
      <c r="K426" s="10">
        <f>K425/30</f>
        <v>440</v>
      </c>
      <c r="L426" s="10">
        <f>L425/31</f>
        <v>385.09677419354841</v>
      </c>
      <c r="M426" s="10">
        <f>M425/31</f>
        <v>391.80645161290323</v>
      </c>
      <c r="N426" s="10">
        <f>N425/30</f>
        <v>483.1</v>
      </c>
      <c r="O426" s="10">
        <f>O425/31</f>
        <v>846.80645161290317</v>
      </c>
      <c r="P426" s="10">
        <f>P425/30</f>
        <v>36.766666666666666</v>
      </c>
      <c r="Q426" s="10">
        <f>Q425/31</f>
        <v>49.451612903225808</v>
      </c>
      <c r="R426" s="10">
        <f>R425/31</f>
        <v>56.225806451612904</v>
      </c>
      <c r="S426" s="10">
        <f>S425/28</f>
        <v>52.892857142857146</v>
      </c>
      <c r="T426" s="10">
        <f>T425/31</f>
        <v>40.645161290322584</v>
      </c>
      <c r="U426" s="6"/>
      <c r="V426" s="6"/>
      <c r="W426" s="6"/>
      <c r="X426" s="6"/>
    </row>
    <row r="427" spans="2:24" x14ac:dyDescent="0.2">
      <c r="C427" t="s">
        <v>116</v>
      </c>
      <c r="F427" s="6">
        <v>5000</v>
      </c>
      <c r="G427" s="6">
        <v>5000</v>
      </c>
      <c r="H427" s="6">
        <v>5000</v>
      </c>
      <c r="I427" s="6">
        <v>5000</v>
      </c>
      <c r="J427" s="6">
        <v>5000</v>
      </c>
      <c r="K427" s="6">
        <v>5000</v>
      </c>
      <c r="L427" s="6">
        <v>5000</v>
      </c>
      <c r="M427" s="6">
        <v>5000</v>
      </c>
      <c r="N427" s="6">
        <v>5000</v>
      </c>
      <c r="O427" s="6">
        <v>5000</v>
      </c>
      <c r="P427" s="6">
        <v>5000</v>
      </c>
      <c r="Q427" s="6">
        <v>5000</v>
      </c>
      <c r="R427" s="6">
        <v>5000</v>
      </c>
      <c r="S427" s="6">
        <v>5000</v>
      </c>
      <c r="T427" s="6">
        <v>5000</v>
      </c>
      <c r="U427" s="6"/>
      <c r="V427" s="6"/>
      <c r="W427" s="6"/>
      <c r="X427" s="6"/>
    </row>
    <row r="428" spans="2:24" x14ac:dyDescent="0.2">
      <c r="C428" t="s">
        <v>5</v>
      </c>
      <c r="F428" s="5" t="s">
        <v>112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2:2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2:24" x14ac:dyDescent="0.2">
      <c r="B430" s="3" t="s">
        <v>47</v>
      </c>
      <c r="C430" s="3" t="s">
        <v>49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2:24" x14ac:dyDescent="0.2">
      <c r="D431" t="s">
        <v>123</v>
      </c>
      <c r="F431" s="5">
        <f>$F$17+$F$18</f>
        <v>0.22750000000000001</v>
      </c>
      <c r="G431" s="5">
        <f>$G$17+$G$18</f>
        <v>0.22750000000000001</v>
      </c>
      <c r="H431" s="5">
        <f>$H$17+$H$18</f>
        <v>0.19750000000000001</v>
      </c>
      <c r="I431" s="5">
        <f>$I$17+$I$18</f>
        <v>0.1575</v>
      </c>
      <c r="J431" s="5">
        <f>$J$17+$J$18</f>
        <v>0.11749999999999999</v>
      </c>
      <c r="K431" s="5">
        <f>$K$17+$K$18</f>
        <v>0.11749999999999999</v>
      </c>
      <c r="L431" s="5">
        <f>$L$17+$L$18</f>
        <v>0.11749999999999999</v>
      </c>
      <c r="M431" s="5">
        <f>$M$17+$M$18</f>
        <v>0.11749999999999999</v>
      </c>
      <c r="N431" s="5">
        <f>$N$17+$N$18</f>
        <v>0.11749999999999999</v>
      </c>
      <c r="O431" s="5">
        <f>$O$17+$O$18</f>
        <v>0.1575</v>
      </c>
      <c r="P431" s="5">
        <f>$P$17+$P$18</f>
        <v>0.20250000000000001</v>
      </c>
      <c r="Q431" s="5">
        <f>$Q$17+$Q$18</f>
        <v>0.21250000000000002</v>
      </c>
      <c r="R431" s="5">
        <f>$R$17+$R$18</f>
        <v>0.23250000000000001</v>
      </c>
      <c r="S431" s="5">
        <f>$S$17+$S$18</f>
        <v>0.23250000000000001</v>
      </c>
      <c r="T431" s="5">
        <f>$T$17+$T$18</f>
        <v>0.20250000000000001</v>
      </c>
    </row>
    <row r="432" spans="2:24" x14ac:dyDescent="0.2">
      <c r="D432" t="s">
        <v>124</v>
      </c>
      <c r="F432" s="5">
        <f>$F$17+$F$18</f>
        <v>0.22750000000000001</v>
      </c>
      <c r="G432" s="5">
        <f>$G$17+$G$18</f>
        <v>0.22750000000000001</v>
      </c>
      <c r="H432" s="5">
        <f>$H$17+$H$18</f>
        <v>0.19750000000000001</v>
      </c>
      <c r="I432" s="5">
        <f>$I$17+$I$18</f>
        <v>0.1575</v>
      </c>
      <c r="J432" s="5">
        <f>$J$17+$J$18</f>
        <v>0.11749999999999999</v>
      </c>
      <c r="K432" s="5">
        <f>$K$17+$K$18</f>
        <v>0.11749999999999999</v>
      </c>
      <c r="L432" s="5">
        <f>$L$17+$L$18</f>
        <v>0.11749999999999999</v>
      </c>
      <c r="M432" s="5">
        <f>$M$17+$M$18</f>
        <v>0.11749999999999999</v>
      </c>
      <c r="N432" s="5">
        <f>$N$17+$N$18</f>
        <v>0.11749999999999999</v>
      </c>
      <c r="O432" s="5">
        <f>$O$17+$O$18</f>
        <v>0.1575</v>
      </c>
      <c r="P432" s="5">
        <f>$P$17+$P$18</f>
        <v>0.20250000000000001</v>
      </c>
      <c r="Q432" s="5">
        <f>$Q$17+$Q$18</f>
        <v>0.21250000000000002</v>
      </c>
      <c r="R432" s="5">
        <f>$R$17+$R$18</f>
        <v>0.23250000000000001</v>
      </c>
      <c r="S432" s="5">
        <f>$S$17+$S$18</f>
        <v>0.23250000000000001</v>
      </c>
      <c r="T432" s="5">
        <f>$T$17+$T$18</f>
        <v>0.20250000000000001</v>
      </c>
    </row>
    <row r="433" spans="2:27" x14ac:dyDescent="0.2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idden="1" x14ac:dyDescent="0.2">
      <c r="C434" t="s">
        <v>146</v>
      </c>
      <c r="F434" s="10">
        <v>36005</v>
      </c>
      <c r="G434" s="10">
        <v>32181</v>
      </c>
      <c r="H434" s="10">
        <v>25513</v>
      </c>
      <c r="I434" s="10">
        <v>12533</v>
      </c>
      <c r="J434" s="10">
        <v>11274</v>
      </c>
      <c r="K434" s="10">
        <v>9816</v>
      </c>
      <c r="L434" s="10">
        <v>9150</v>
      </c>
      <c r="M434" s="10">
        <v>9151</v>
      </c>
      <c r="N434" s="10">
        <v>8834</v>
      </c>
      <c r="O434" s="10">
        <v>9880</v>
      </c>
      <c r="P434" s="10">
        <v>1610</v>
      </c>
      <c r="Q434" s="10">
        <v>2840</v>
      </c>
      <c r="R434" s="10">
        <v>3127</v>
      </c>
      <c r="S434" s="10">
        <v>3200</v>
      </c>
      <c r="T434" s="10">
        <v>3400</v>
      </c>
      <c r="U434" s="6"/>
      <c r="V434" s="6"/>
      <c r="W434" s="6"/>
      <c r="X434" s="6"/>
      <c r="Y434" s="6"/>
      <c r="Z434" s="6"/>
      <c r="AA434" s="6"/>
    </row>
    <row r="435" spans="2:27" s="7" customFormat="1" x14ac:dyDescent="0.2">
      <c r="C435" t="s">
        <v>146</v>
      </c>
      <c r="F435" s="10">
        <f>F434/31</f>
        <v>1161.4516129032259</v>
      </c>
      <c r="G435" s="10">
        <f>G434/29</f>
        <v>1109.6896551724137</v>
      </c>
      <c r="H435" s="10">
        <f>H434/31</f>
        <v>823</v>
      </c>
      <c r="I435" s="10">
        <f>I434/30</f>
        <v>417.76666666666665</v>
      </c>
      <c r="J435" s="10">
        <f>J434/31</f>
        <v>363.67741935483872</v>
      </c>
      <c r="K435" s="10">
        <f>K434/30</f>
        <v>327.2</v>
      </c>
      <c r="L435" s="10">
        <f>L434/31</f>
        <v>295.16129032258067</v>
      </c>
      <c r="M435" s="10">
        <f>M434/31</f>
        <v>295.19354838709677</v>
      </c>
      <c r="N435" s="10">
        <f>N434/30</f>
        <v>294.46666666666664</v>
      </c>
      <c r="O435" s="10">
        <f>O434/31</f>
        <v>318.70967741935482</v>
      </c>
      <c r="P435" s="10">
        <f>P434/30</f>
        <v>53.666666666666664</v>
      </c>
      <c r="Q435" s="10">
        <f>Q434/31</f>
        <v>91.612903225806448</v>
      </c>
      <c r="R435" s="10">
        <f>R434/31</f>
        <v>100.87096774193549</v>
      </c>
      <c r="S435" s="10">
        <f>S434/28</f>
        <v>114.28571428571429</v>
      </c>
      <c r="T435" s="10">
        <f>T434/31</f>
        <v>109.6774193548387</v>
      </c>
      <c r="U435" s="6"/>
      <c r="V435" s="6"/>
      <c r="W435" s="6"/>
      <c r="X435" s="6"/>
      <c r="Y435" s="6"/>
      <c r="Z435" s="6"/>
      <c r="AA435" s="6"/>
    </row>
    <row r="436" spans="2:27" x14ac:dyDescent="0.2">
      <c r="C436" t="s">
        <v>116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/>
      <c r="V436" s="6"/>
      <c r="W436" s="6"/>
      <c r="X436" s="6"/>
      <c r="Y436" s="6"/>
      <c r="Z436" s="6"/>
      <c r="AA436" s="6"/>
    </row>
    <row r="437" spans="2:27" hidden="1" x14ac:dyDescent="0.2">
      <c r="C437" t="s">
        <v>147</v>
      </c>
      <c r="F437" s="10">
        <f>34861+10332+37306</f>
        <v>82499</v>
      </c>
      <c r="G437" s="10">
        <f>34360+10295+33549</f>
        <v>78204</v>
      </c>
      <c r="H437" s="10">
        <f>29790+10258+25569</f>
        <v>65617</v>
      </c>
      <c r="I437" s="10">
        <f>25328+10220+20625</f>
        <v>56173</v>
      </c>
      <c r="J437" s="10">
        <f>23319+10183+21237</f>
        <v>54739</v>
      </c>
      <c r="K437" s="10">
        <f>15437+10145+20447</f>
        <v>46029</v>
      </c>
      <c r="L437" s="10">
        <f>14732+10108+21052</f>
        <v>45892</v>
      </c>
      <c r="M437" s="10">
        <f>14614+10071+20960</f>
        <v>45645</v>
      </c>
      <c r="N437" s="10">
        <f>14496+6222+20205</f>
        <v>40923</v>
      </c>
      <c r="O437" s="10">
        <f>14378+3940+20776</f>
        <v>39094</v>
      </c>
      <c r="P437" s="10">
        <f>14261+1976+20002</f>
        <v>36239</v>
      </c>
      <c r="Q437" s="10">
        <f>13472+1084+20592</f>
        <v>35148</v>
      </c>
      <c r="R437" s="10">
        <f>13095+457+20062</f>
        <v>33614</v>
      </c>
      <c r="S437" s="10">
        <f>6766+274+17527</f>
        <v>24567</v>
      </c>
      <c r="T437" s="10">
        <f>6468+65+4754</f>
        <v>11287</v>
      </c>
      <c r="U437" s="6"/>
      <c r="V437" s="6"/>
      <c r="W437" s="6"/>
      <c r="X437" s="6"/>
      <c r="Y437" s="6"/>
      <c r="Z437" s="6"/>
      <c r="AA437" s="6"/>
    </row>
    <row r="438" spans="2:27" s="7" customFormat="1" x14ac:dyDescent="0.2">
      <c r="C438" t="s">
        <v>147</v>
      </c>
      <c r="F438" s="10">
        <f>F437/31</f>
        <v>2661.2580645161293</v>
      </c>
      <c r="G438" s="10">
        <v>2778</v>
      </c>
      <c r="H438" s="10">
        <f>H437/31</f>
        <v>2116.6774193548385</v>
      </c>
      <c r="I438" s="10">
        <f>I437/30</f>
        <v>1872.4333333333334</v>
      </c>
      <c r="J438" s="10">
        <f>J437/31</f>
        <v>1765.7741935483871</v>
      </c>
      <c r="K438" s="10">
        <f>K437/30</f>
        <v>1534.3</v>
      </c>
      <c r="L438" s="10">
        <f>L437/31</f>
        <v>1480.3870967741937</v>
      </c>
      <c r="M438" s="10">
        <f>M437/31</f>
        <v>1472.4193548387098</v>
      </c>
      <c r="N438" s="10">
        <f>N437/30</f>
        <v>1364.1</v>
      </c>
      <c r="O438" s="10">
        <f>O437/31</f>
        <v>1261.0967741935483</v>
      </c>
      <c r="P438" s="10">
        <f>P437/30</f>
        <v>1207.9666666666667</v>
      </c>
      <c r="Q438" s="10">
        <f>Q437/31</f>
        <v>1133.8064516129032</v>
      </c>
      <c r="R438" s="10">
        <f>R437/31</f>
        <v>1084.3225806451612</v>
      </c>
      <c r="S438" s="10">
        <f>S437/28</f>
        <v>877.39285714285711</v>
      </c>
      <c r="T438" s="10">
        <f>T437/31</f>
        <v>364.09677419354841</v>
      </c>
      <c r="U438" s="6"/>
      <c r="V438" s="6"/>
      <c r="W438" s="6"/>
      <c r="X438" s="6"/>
      <c r="Y438" s="6"/>
      <c r="Z438" s="6"/>
      <c r="AA438" s="6"/>
    </row>
    <row r="439" spans="2:27" x14ac:dyDescent="0.2">
      <c r="C439" t="s">
        <v>116</v>
      </c>
      <c r="F439" s="6">
        <v>1306</v>
      </c>
      <c r="G439" s="6">
        <v>1306</v>
      </c>
      <c r="H439" s="6">
        <v>1306</v>
      </c>
      <c r="I439" s="6">
        <v>1298</v>
      </c>
      <c r="J439" s="6">
        <v>962</v>
      </c>
      <c r="K439" s="6">
        <v>962</v>
      </c>
      <c r="L439" s="6">
        <v>51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/>
      <c r="V439" s="6"/>
      <c r="W439" s="6"/>
      <c r="X439" s="6"/>
      <c r="Y439" s="6"/>
      <c r="Z439" s="6"/>
      <c r="AA439" s="6"/>
    </row>
    <row r="440" spans="2:27" x14ac:dyDescent="0.2">
      <c r="C440" t="s">
        <v>5</v>
      </c>
      <c r="F440" s="5" t="s">
        <v>113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2:27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2:27" x14ac:dyDescent="0.2">
      <c r="B442" s="3" t="s">
        <v>47</v>
      </c>
      <c r="C442" s="3" t="s">
        <v>50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2:27" x14ac:dyDescent="0.2">
      <c r="D443" t="s">
        <v>123</v>
      </c>
      <c r="F443" s="5">
        <f>$F$17+$F$18</f>
        <v>0.22750000000000001</v>
      </c>
      <c r="G443" s="5">
        <f>$G$17+$G$18</f>
        <v>0.22750000000000001</v>
      </c>
      <c r="H443" s="5">
        <f>$H$17+$H$18</f>
        <v>0.19750000000000001</v>
      </c>
      <c r="I443" s="5">
        <f>$I$17+$I$18</f>
        <v>0.1575</v>
      </c>
      <c r="J443" s="5">
        <f>$J$17+$J$18</f>
        <v>0.11749999999999999</v>
      </c>
      <c r="K443" s="5">
        <f>$K$17+$K$18</f>
        <v>0.11749999999999999</v>
      </c>
      <c r="L443" s="5">
        <f>$L$17+$L$18</f>
        <v>0.11749999999999999</v>
      </c>
      <c r="M443" s="5">
        <f>$M$17+$M$18</f>
        <v>0.11749999999999999</v>
      </c>
      <c r="N443" s="5">
        <f>$N$17+$N$18</f>
        <v>0.11749999999999999</v>
      </c>
      <c r="O443" s="5">
        <f>$O$17+$O$18</f>
        <v>0.1575</v>
      </c>
      <c r="P443" s="5">
        <f>$P$17+$P$18</f>
        <v>0.20250000000000001</v>
      </c>
      <c r="Q443" s="5">
        <f>$Q$17+$Q$18</f>
        <v>0.21250000000000002</v>
      </c>
      <c r="R443" s="5">
        <f>$R$17+$R$18</f>
        <v>0.23250000000000001</v>
      </c>
      <c r="S443" s="5">
        <f>$S$17+$S$18</f>
        <v>0.23250000000000001</v>
      </c>
      <c r="T443" s="5">
        <f>$T$17+$T$18</f>
        <v>0.20250000000000001</v>
      </c>
    </row>
    <row r="444" spans="2:27" x14ac:dyDescent="0.2">
      <c r="D444" t="s">
        <v>124</v>
      </c>
      <c r="F444" s="5">
        <f>$F$17+$F$18</f>
        <v>0.22750000000000001</v>
      </c>
      <c r="G444" s="5">
        <f>$G$17+$G$18</f>
        <v>0.22750000000000001</v>
      </c>
      <c r="H444" s="5">
        <f>$H$17+$H$18</f>
        <v>0.19750000000000001</v>
      </c>
      <c r="I444" s="5">
        <f>$I$17+$I$18</f>
        <v>0.1575</v>
      </c>
      <c r="J444" s="5">
        <f>$J$17+$J$18</f>
        <v>0.11749999999999999</v>
      </c>
      <c r="K444" s="5">
        <f>$K$17+$K$18</f>
        <v>0.11749999999999999</v>
      </c>
      <c r="L444" s="5">
        <f>$L$17+$L$18</f>
        <v>0.11749999999999999</v>
      </c>
      <c r="M444" s="5">
        <f>$M$17+$M$18</f>
        <v>0.11749999999999999</v>
      </c>
      <c r="N444" s="5">
        <f>$N$17+$N$18</f>
        <v>0.11749999999999999</v>
      </c>
      <c r="O444" s="5">
        <f>$O$17+$O$18</f>
        <v>0.1575</v>
      </c>
      <c r="P444" s="5">
        <f>$P$17+$P$18</f>
        <v>0.20250000000000001</v>
      </c>
      <c r="Q444" s="5">
        <f>$Q$17+$Q$18</f>
        <v>0.21250000000000002</v>
      </c>
      <c r="R444" s="5">
        <f>$R$17+$R$18</f>
        <v>0.23250000000000001</v>
      </c>
      <c r="S444" s="5">
        <f>$S$17+$S$18</f>
        <v>0.23250000000000001</v>
      </c>
      <c r="T444" s="5">
        <f>$T$17+$T$18</f>
        <v>0.20250000000000001</v>
      </c>
    </row>
    <row r="445" spans="2:27" x14ac:dyDescent="0.2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2:27" hidden="1" x14ac:dyDescent="0.2">
      <c r="C446" t="s">
        <v>146</v>
      </c>
      <c r="F446" s="10">
        <f>642740+15208</f>
        <v>657948</v>
      </c>
      <c r="G446" s="10">
        <f>601347+10926</f>
        <v>612273</v>
      </c>
      <c r="H446" s="10">
        <f>635796+13463</f>
        <v>649259</v>
      </c>
      <c r="I446" s="10">
        <f>5604+12441</f>
        <v>18045</v>
      </c>
      <c r="J446" s="10">
        <f>4203+11152</f>
        <v>15355</v>
      </c>
      <c r="K446" s="10">
        <f>3745+11187</f>
        <v>14932</v>
      </c>
      <c r="L446" s="10">
        <f>3714+10977</f>
        <v>14691</v>
      </c>
      <c r="M446" s="10">
        <f>3824+10846</f>
        <v>14670</v>
      </c>
      <c r="N446" s="10">
        <f>3700+10958</f>
        <v>14658</v>
      </c>
      <c r="O446" s="10">
        <f>3076+12079</f>
        <v>15155</v>
      </c>
      <c r="P446" s="10">
        <f>1643+11588</f>
        <v>13231</v>
      </c>
      <c r="Q446" s="10">
        <f>10740</f>
        <v>10740</v>
      </c>
      <c r="R446" s="10">
        <f>10769</f>
        <v>10769</v>
      </c>
      <c r="S446" s="10">
        <v>10713</v>
      </c>
      <c r="T446" s="10">
        <v>10432</v>
      </c>
      <c r="U446" s="6"/>
      <c r="V446" s="6"/>
      <c r="W446" s="6"/>
      <c r="X446" s="6"/>
    </row>
    <row r="447" spans="2:27" s="7" customFormat="1" x14ac:dyDescent="0.2">
      <c r="C447" t="s">
        <v>146</v>
      </c>
      <c r="F447" s="10">
        <f>F446/31</f>
        <v>21224.129032258064</v>
      </c>
      <c r="G447" s="10">
        <f>G446/29</f>
        <v>21112.862068965518</v>
      </c>
      <c r="H447" s="10">
        <f>H446/31</f>
        <v>20943.83870967742</v>
      </c>
      <c r="I447" s="10">
        <f>I446/30</f>
        <v>601.5</v>
      </c>
      <c r="J447" s="10">
        <f>J446/31</f>
        <v>495.32258064516128</v>
      </c>
      <c r="K447" s="10">
        <f>K446/30</f>
        <v>497.73333333333335</v>
      </c>
      <c r="L447" s="10">
        <f>L446/31</f>
        <v>473.90322580645159</v>
      </c>
      <c r="M447" s="10">
        <f>M446/31</f>
        <v>473.22580645161293</v>
      </c>
      <c r="N447" s="10">
        <f>N446/30</f>
        <v>488.6</v>
      </c>
      <c r="O447" s="10">
        <f>O446/31</f>
        <v>488.87096774193549</v>
      </c>
      <c r="P447" s="10">
        <f>P446/30</f>
        <v>441.03333333333336</v>
      </c>
      <c r="Q447" s="10">
        <f>Q446/31</f>
        <v>346.45161290322579</v>
      </c>
      <c r="R447" s="10">
        <f>R446/31</f>
        <v>347.38709677419354</v>
      </c>
      <c r="S447" s="10">
        <f>S446/28</f>
        <v>382.60714285714283</v>
      </c>
      <c r="T447" s="10">
        <f>T446/31</f>
        <v>336.51612903225805</v>
      </c>
      <c r="U447" s="6"/>
      <c r="V447" s="6"/>
      <c r="W447" s="6"/>
      <c r="X447" s="6"/>
    </row>
    <row r="448" spans="2:27" x14ac:dyDescent="0.2">
      <c r="C448" t="s">
        <v>116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/>
      <c r="V448" s="6"/>
      <c r="W448" s="6"/>
      <c r="X448" s="6"/>
    </row>
    <row r="449" spans="1:24" x14ac:dyDescent="0.2">
      <c r="C449" t="s">
        <v>147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/>
      <c r="V449" s="6"/>
      <c r="W449" s="6"/>
      <c r="X449" s="6"/>
    </row>
    <row r="450" spans="1:24" x14ac:dyDescent="0.2">
      <c r="C450" t="s">
        <v>116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/>
      <c r="V450" s="6"/>
      <c r="W450" s="6"/>
      <c r="X450" s="6"/>
    </row>
    <row r="451" spans="1:24" x14ac:dyDescent="0.2">
      <c r="C451" t="s">
        <v>5</v>
      </c>
      <c r="F451" s="5" t="s">
        <v>114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4" x14ac:dyDescent="0.2">
      <c r="A454" s="3" t="s">
        <v>51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4" x14ac:dyDescent="0.2">
      <c r="A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4" x14ac:dyDescent="0.2">
      <c r="A456" s="3"/>
      <c r="B456" s="3" t="s">
        <v>52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4" x14ac:dyDescent="0.2">
      <c r="A457" s="3"/>
      <c r="B457" s="3"/>
      <c r="D457" t="s">
        <v>126</v>
      </c>
      <c r="F457" s="5">
        <v>0.28000000000000003</v>
      </c>
      <c r="G457" s="5">
        <v>0.28000000000000003</v>
      </c>
      <c r="H457" s="5">
        <v>0.28000000000000003</v>
      </c>
      <c r="I457" s="5">
        <v>0.13</v>
      </c>
      <c r="J457" s="5">
        <v>0.13</v>
      </c>
      <c r="K457" s="5">
        <v>0.13</v>
      </c>
      <c r="L457" s="5">
        <v>0.13</v>
      </c>
      <c r="M457" s="5">
        <v>0.13</v>
      </c>
      <c r="N457" s="5">
        <v>0.13</v>
      </c>
      <c r="O457" s="5">
        <v>0.13</v>
      </c>
      <c r="P457" s="5">
        <v>0.28000000000000003</v>
      </c>
      <c r="Q457" s="5">
        <v>0.28000000000000003</v>
      </c>
      <c r="R457" s="5">
        <v>0.28000000000000003</v>
      </c>
      <c r="S457" s="5">
        <v>0.28000000000000003</v>
      </c>
      <c r="T457" s="5">
        <v>0.28000000000000003</v>
      </c>
    </row>
    <row r="458" spans="1:24" x14ac:dyDescent="0.2">
      <c r="A458" s="3"/>
      <c r="B458" s="3"/>
      <c r="D458" t="s">
        <v>141</v>
      </c>
      <c r="F458" s="5">
        <v>0.21</v>
      </c>
      <c r="G458" s="5">
        <v>0.21</v>
      </c>
      <c r="H458" s="5">
        <v>0.21</v>
      </c>
      <c r="I458" s="5">
        <v>0.11</v>
      </c>
      <c r="J458" s="5">
        <v>0.11</v>
      </c>
      <c r="K458" s="5">
        <v>0.11</v>
      </c>
      <c r="L458" s="5">
        <v>0.11</v>
      </c>
      <c r="M458" s="5">
        <v>0.11</v>
      </c>
      <c r="N458" s="5">
        <v>0.11</v>
      </c>
      <c r="O458" s="5">
        <v>0.11</v>
      </c>
      <c r="P458" s="5">
        <v>0.21</v>
      </c>
      <c r="Q458" s="5">
        <v>0.21</v>
      </c>
      <c r="R458" s="5">
        <v>0.21</v>
      </c>
      <c r="S458" s="5">
        <v>0.21</v>
      </c>
      <c r="T458" s="5">
        <v>0.21</v>
      </c>
    </row>
    <row r="459" spans="1:24" x14ac:dyDescent="0.2">
      <c r="A459" s="3"/>
      <c r="B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idden="1" x14ac:dyDescent="0.2">
      <c r="A460" s="3"/>
      <c r="B460" s="3"/>
      <c r="C460" t="s">
        <v>146</v>
      </c>
      <c r="F460" s="10">
        <f>1324+54449+54410</f>
        <v>110183</v>
      </c>
      <c r="G460" s="10">
        <f>1148+54561+49295</f>
        <v>105004</v>
      </c>
      <c r="H460" s="10">
        <f>1243+52973+46052</f>
        <v>100268</v>
      </c>
      <c r="I460" s="10">
        <f>1187+40496+34995</f>
        <v>76678</v>
      </c>
      <c r="J460" s="10">
        <f>775+32204+30925</f>
        <v>63904</v>
      </c>
      <c r="K460" s="10">
        <f>27189+27478</f>
        <v>54667</v>
      </c>
      <c r="L460" s="10">
        <f>26806+27319</f>
        <v>54125</v>
      </c>
      <c r="M460" s="10">
        <f>27546+27514</f>
        <v>55060</v>
      </c>
      <c r="N460" s="10">
        <f>28515+27763</f>
        <v>56278</v>
      </c>
      <c r="O460" s="10">
        <f>23907+29030</f>
        <v>52937</v>
      </c>
      <c r="P460" s="10">
        <f>3324+6300</f>
        <v>9624</v>
      </c>
      <c r="Q460" s="10">
        <f>4397+6431</f>
        <v>10828</v>
      </c>
      <c r="R460" s="10">
        <f>4390+7928</f>
        <v>12318</v>
      </c>
      <c r="S460" s="10">
        <f>3816+7448</f>
        <v>11264</v>
      </c>
      <c r="T460" s="10">
        <f>3405+7431</f>
        <v>10836</v>
      </c>
      <c r="U460" s="6"/>
      <c r="V460" s="6"/>
      <c r="W460" s="6"/>
      <c r="X460" s="6"/>
    </row>
    <row r="461" spans="1:24" s="7" customFormat="1" x14ac:dyDescent="0.2">
      <c r="C461" t="s">
        <v>146</v>
      </c>
      <c r="F461" s="10">
        <f>F460/31</f>
        <v>3554.2903225806454</v>
      </c>
      <c r="G461" s="10">
        <f>G460/29</f>
        <v>3620.8275862068967</v>
      </c>
      <c r="H461" s="10">
        <f>H460/31</f>
        <v>3234.4516129032259</v>
      </c>
      <c r="I461" s="10">
        <f>I460/30</f>
        <v>2555.9333333333334</v>
      </c>
      <c r="J461" s="10">
        <f>J460/31</f>
        <v>2061.4193548387098</v>
      </c>
      <c r="K461" s="10">
        <f>K460/30</f>
        <v>1822.2333333333333</v>
      </c>
      <c r="L461" s="10">
        <f>L460/31</f>
        <v>1745.9677419354839</v>
      </c>
      <c r="M461" s="10">
        <f>M460/31</f>
        <v>1776.1290322580646</v>
      </c>
      <c r="N461" s="10">
        <f>N460/30</f>
        <v>1875.9333333333334</v>
      </c>
      <c r="O461" s="10">
        <f>O460/31</f>
        <v>1707.6451612903227</v>
      </c>
      <c r="P461" s="10">
        <f>P460/30</f>
        <v>320.8</v>
      </c>
      <c r="Q461" s="10">
        <f>Q460/31</f>
        <v>349.29032258064518</v>
      </c>
      <c r="R461" s="10">
        <f>R460/31</f>
        <v>397.35483870967744</v>
      </c>
      <c r="S461" s="10">
        <f>S460/28</f>
        <v>402.28571428571428</v>
      </c>
      <c r="T461" s="10">
        <f>T460/31</f>
        <v>349.54838709677421</v>
      </c>
      <c r="U461" s="6"/>
      <c r="V461" s="6"/>
      <c r="W461" s="6"/>
      <c r="X461" s="6"/>
    </row>
    <row r="462" spans="1:24" x14ac:dyDescent="0.2">
      <c r="A462" s="3"/>
      <c r="B462" s="3"/>
      <c r="C462" t="s">
        <v>116</v>
      </c>
      <c r="F462" s="6">
        <v>1214</v>
      </c>
      <c r="G462" s="6">
        <v>1214</v>
      </c>
      <c r="H462" s="6">
        <v>1214</v>
      </c>
      <c r="I462" s="6">
        <v>1214</v>
      </c>
      <c r="J462" s="6">
        <v>1214</v>
      </c>
      <c r="K462" s="6">
        <v>1214</v>
      </c>
      <c r="L462" s="6">
        <v>1214</v>
      </c>
      <c r="M462" s="6">
        <v>1214</v>
      </c>
      <c r="N462" s="6">
        <v>1214</v>
      </c>
      <c r="O462" s="6">
        <v>1214</v>
      </c>
      <c r="P462" s="6">
        <v>1214</v>
      </c>
      <c r="Q462" s="6">
        <v>1214</v>
      </c>
      <c r="R462" s="6">
        <v>1214</v>
      </c>
      <c r="S462" s="6">
        <v>1214</v>
      </c>
      <c r="T462" s="6">
        <v>1214</v>
      </c>
      <c r="U462" s="6"/>
      <c r="V462" s="6"/>
      <c r="W462" s="6"/>
      <c r="X462" s="6"/>
    </row>
    <row r="463" spans="1:24" x14ac:dyDescent="0.2">
      <c r="A463" s="3"/>
      <c r="B463" s="3"/>
      <c r="C463" t="s">
        <v>5</v>
      </c>
      <c r="F463" s="5" t="s">
        <v>54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4" x14ac:dyDescent="0.2">
      <c r="A464" s="3"/>
      <c r="B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56" x14ac:dyDescent="0.2">
      <c r="A465" s="3"/>
      <c r="B465" s="3" t="s">
        <v>53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56" x14ac:dyDescent="0.2">
      <c r="A466" s="3"/>
      <c r="B466" s="3"/>
      <c r="D466" t="s">
        <v>126</v>
      </c>
      <c r="F466" s="5">
        <v>0.21</v>
      </c>
      <c r="G466" s="5">
        <v>0.21</v>
      </c>
      <c r="H466" s="5">
        <v>0.21</v>
      </c>
      <c r="I466" s="5">
        <v>0.11</v>
      </c>
      <c r="J466" s="5">
        <v>0.11</v>
      </c>
      <c r="K466" s="5">
        <v>0.11</v>
      </c>
      <c r="L466" s="5">
        <v>0.11</v>
      </c>
      <c r="M466" s="5">
        <v>0.11</v>
      </c>
      <c r="N466" s="5">
        <v>0.11</v>
      </c>
      <c r="O466" s="5">
        <v>0.11</v>
      </c>
      <c r="P466" s="5">
        <v>0.21</v>
      </c>
      <c r="Q466" s="5">
        <v>0.21</v>
      </c>
      <c r="R466" s="5">
        <v>0.21</v>
      </c>
      <c r="S466" s="5">
        <v>0.21</v>
      </c>
      <c r="T466" s="5">
        <v>0.21</v>
      </c>
    </row>
    <row r="467" spans="1:56" x14ac:dyDescent="0.2">
      <c r="A467" s="3"/>
      <c r="B467" s="3"/>
      <c r="D467" t="s">
        <v>127</v>
      </c>
      <c r="F467" s="5">
        <v>0.21</v>
      </c>
      <c r="G467" s="5">
        <v>0.21</v>
      </c>
      <c r="H467" s="5">
        <v>0.21</v>
      </c>
      <c r="I467" s="5">
        <v>0.11</v>
      </c>
      <c r="J467" s="5">
        <v>0.11</v>
      </c>
      <c r="K467" s="5">
        <v>0.11</v>
      </c>
      <c r="L467" s="5">
        <v>0.11</v>
      </c>
      <c r="M467" s="5">
        <v>0.11</v>
      </c>
      <c r="N467" s="5">
        <v>0.11</v>
      </c>
      <c r="O467" s="5">
        <v>0.11</v>
      </c>
      <c r="P467" s="5">
        <v>0.21</v>
      </c>
      <c r="Q467" s="5">
        <v>0.21</v>
      </c>
      <c r="R467" s="5">
        <v>0.21</v>
      </c>
      <c r="S467" s="5">
        <v>0.21</v>
      </c>
      <c r="T467" s="5">
        <v>0.21</v>
      </c>
    </row>
    <row r="468" spans="1:56" x14ac:dyDescent="0.2">
      <c r="A468" s="3"/>
      <c r="B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spans="1:56" hidden="1" x14ac:dyDescent="0.2">
      <c r="A469" s="3"/>
      <c r="B469" s="3"/>
      <c r="C469" t="s">
        <v>146</v>
      </c>
      <c r="F469" s="10">
        <f>9497+16281+332631</f>
        <v>358409</v>
      </c>
      <c r="G469" s="10">
        <f>9482+14660+302245</f>
        <v>326387</v>
      </c>
      <c r="H469" s="10">
        <f>9497+11960+310684</f>
        <v>332141</v>
      </c>
      <c r="I469" s="10">
        <f>8080+10797+18257</f>
        <v>37134</v>
      </c>
      <c r="J469" s="10">
        <f>6693+9947+15077</f>
        <v>31717</v>
      </c>
      <c r="K469" s="10">
        <f>6788+8933+12919</f>
        <v>28640</v>
      </c>
      <c r="L469" s="10">
        <f>7004+9333+12345</f>
        <v>28682</v>
      </c>
      <c r="M469" s="10">
        <f>4136+9675+12040</f>
        <v>25851</v>
      </c>
      <c r="N469" s="10">
        <f>4178+24232+12569</f>
        <v>40979</v>
      </c>
      <c r="O469" s="10">
        <f>21804+14143</f>
        <v>35947</v>
      </c>
      <c r="P469" s="10">
        <f>5544</f>
        <v>5544</v>
      </c>
      <c r="Q469" s="10">
        <f>3728</f>
        <v>3728</v>
      </c>
      <c r="R469" s="10">
        <f>3243</f>
        <v>3243</v>
      </c>
      <c r="S469" s="10">
        <f>2690</f>
        <v>2690</v>
      </c>
      <c r="T469" s="10">
        <f>2623</f>
        <v>2623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spans="1:56" s="7" customFormat="1" x14ac:dyDescent="0.2">
      <c r="C470" t="s">
        <v>146</v>
      </c>
      <c r="F470" s="10">
        <f>F469/31</f>
        <v>11561.58064516129</v>
      </c>
      <c r="G470" s="10">
        <f>G469/29</f>
        <v>11254.724137931034</v>
      </c>
      <c r="H470" s="10">
        <f>H469/31</f>
        <v>10714.225806451614</v>
      </c>
      <c r="I470" s="10">
        <f>I469/30</f>
        <v>1237.8</v>
      </c>
      <c r="J470" s="10">
        <f>J469/31</f>
        <v>1023.1290322580645</v>
      </c>
      <c r="K470" s="10">
        <f>K469/30</f>
        <v>954.66666666666663</v>
      </c>
      <c r="L470" s="10">
        <f>L469/31</f>
        <v>925.22580645161293</v>
      </c>
      <c r="M470" s="10">
        <f>M469/31</f>
        <v>833.90322580645159</v>
      </c>
      <c r="N470" s="10">
        <f>N469/30</f>
        <v>1365.9666666666667</v>
      </c>
      <c r="O470" s="10">
        <f>O469/31</f>
        <v>1159.5806451612902</v>
      </c>
      <c r="P470" s="10">
        <f>P469/30</f>
        <v>184.8</v>
      </c>
      <c r="Q470" s="10">
        <f>Q469/31</f>
        <v>120.25806451612904</v>
      </c>
      <c r="R470" s="10">
        <f>R469/31</f>
        <v>104.61290322580645</v>
      </c>
      <c r="S470" s="10">
        <f>S469/28</f>
        <v>96.071428571428569</v>
      </c>
      <c r="T470" s="10">
        <f>T469/31</f>
        <v>84.612903225806448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spans="1:56" x14ac:dyDescent="0.2">
      <c r="A471" s="3"/>
      <c r="B471" s="3"/>
      <c r="C471" t="s">
        <v>116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spans="1:56" x14ac:dyDescent="0.2">
      <c r="A472" s="3"/>
      <c r="B472" s="3"/>
      <c r="C472" t="s">
        <v>5</v>
      </c>
      <c r="F472" s="5" t="s">
        <v>55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56" x14ac:dyDescent="0.2">
      <c r="A473" s="3"/>
      <c r="B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56" x14ac:dyDescent="0.2">
      <c r="A474" s="3"/>
      <c r="B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56" x14ac:dyDescent="0.2">
      <c r="A475" s="3" t="s">
        <v>56</v>
      </c>
      <c r="B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56" x14ac:dyDescent="0.2">
      <c r="A476" s="3"/>
      <c r="B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56" x14ac:dyDescent="0.2">
      <c r="A477" s="3"/>
      <c r="B477" s="3" t="s">
        <v>57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56" x14ac:dyDescent="0.2">
      <c r="A478" s="3"/>
      <c r="B478" s="3"/>
      <c r="D478" t="s">
        <v>119</v>
      </c>
      <c r="F478" s="5">
        <v>2.5000000000000001E-2</v>
      </c>
      <c r="G478" s="5">
        <v>2.5000000000000001E-2</v>
      </c>
      <c r="H478" s="5">
        <v>2.5000000000000001E-2</v>
      </c>
      <c r="I478" s="5">
        <v>0.01</v>
      </c>
      <c r="J478" s="5">
        <v>0.01</v>
      </c>
      <c r="K478" s="5">
        <v>0.01</v>
      </c>
      <c r="L478" s="5">
        <v>0.01</v>
      </c>
      <c r="M478" s="5">
        <v>0.01</v>
      </c>
      <c r="N478" s="5">
        <v>0.01</v>
      </c>
      <c r="O478" s="5">
        <v>0.01</v>
      </c>
      <c r="P478" s="5">
        <v>0.03</v>
      </c>
      <c r="Q478" s="5">
        <v>0.03</v>
      </c>
      <c r="R478" s="5">
        <v>0.03</v>
      </c>
      <c r="S478" s="5">
        <v>0.03</v>
      </c>
      <c r="T478" s="5">
        <v>0.03</v>
      </c>
    </row>
    <row r="479" spans="1:56" x14ac:dyDescent="0.2">
      <c r="A479" s="3"/>
      <c r="B479" s="3"/>
      <c r="D479" t="s">
        <v>125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56" x14ac:dyDescent="0.2">
      <c r="A480" s="3"/>
      <c r="B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idden="1" x14ac:dyDescent="0.2">
      <c r="A481" s="3"/>
      <c r="B481" s="3"/>
      <c r="C481" t="s">
        <v>146</v>
      </c>
      <c r="F481" s="10">
        <f>7087+27916+4164+47023</f>
        <v>86190</v>
      </c>
      <c r="G481" s="10">
        <f>6158+25495+4819+43765</f>
        <v>80237</v>
      </c>
      <c r="H481" s="10">
        <f>5882+24627+3288+41550</f>
        <v>75347</v>
      </c>
      <c r="I481" s="10">
        <f>4739+18344+3089+26820</f>
        <v>52992</v>
      </c>
      <c r="J481" s="10">
        <f>3956+14954+1646+22692</f>
        <v>43248</v>
      </c>
      <c r="K481" s="10">
        <f>3489+14518+610+20850</f>
        <v>39467</v>
      </c>
      <c r="L481" s="10">
        <f>3376+14445+409+19747</f>
        <v>37977</v>
      </c>
      <c r="M481" s="10">
        <f>3495+14423+403+20615</f>
        <v>38936</v>
      </c>
      <c r="N481" s="10">
        <f>1890+14607+495+22140</f>
        <v>39132</v>
      </c>
      <c r="O481" s="10">
        <f>2899+14341+1024+23932</f>
        <v>42196</v>
      </c>
      <c r="P481" s="10">
        <f>2502+3600+1009</f>
        <v>7111</v>
      </c>
      <c r="Q481" s="10">
        <f>2227+5890+1086</f>
        <v>9203</v>
      </c>
      <c r="R481" s="10">
        <f>2526+8680+272</f>
        <v>11478</v>
      </c>
      <c r="S481" s="10">
        <f>2526+6440+2089</f>
        <v>11055</v>
      </c>
      <c r="T481" s="10">
        <f>2188+6820+173</f>
        <v>9181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s="7" customFormat="1" x14ac:dyDescent="0.2">
      <c r="C482" t="s">
        <v>146</v>
      </c>
      <c r="F482" s="10">
        <f>F481/31</f>
        <v>2780.3225806451615</v>
      </c>
      <c r="G482" s="10">
        <f>G481/29</f>
        <v>2766.7931034482758</v>
      </c>
      <c r="H482" s="10">
        <f>H481/31</f>
        <v>2430.5483870967741</v>
      </c>
      <c r="I482" s="10">
        <f>I481/30</f>
        <v>1766.4</v>
      </c>
      <c r="J482" s="10">
        <f>J481/31</f>
        <v>1395.0967741935483</v>
      </c>
      <c r="K482" s="10">
        <f>K481/30</f>
        <v>1315.5666666666666</v>
      </c>
      <c r="L482" s="10">
        <f>L481/31</f>
        <v>1225.0645161290322</v>
      </c>
      <c r="M482" s="10">
        <f>M481/31</f>
        <v>1256</v>
      </c>
      <c r="N482" s="10">
        <f>N481/30</f>
        <v>1304.4000000000001</v>
      </c>
      <c r="O482" s="10">
        <f>O481/31</f>
        <v>1361.1612903225807</v>
      </c>
      <c r="P482" s="10">
        <f>P481/30</f>
        <v>237.03333333333333</v>
      </c>
      <c r="Q482" s="10">
        <f>Q481/31</f>
        <v>296.87096774193549</v>
      </c>
      <c r="R482" s="10">
        <f>R481/31</f>
        <v>370.25806451612902</v>
      </c>
      <c r="S482" s="10">
        <f>S481/28</f>
        <v>394.82142857142856</v>
      </c>
      <c r="T482" s="10">
        <f>T481/31</f>
        <v>296.16129032258067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x14ac:dyDescent="0.2">
      <c r="A483" s="3"/>
      <c r="B483" s="3"/>
      <c r="C483" t="s">
        <v>116</v>
      </c>
      <c r="F483" s="6">
        <v>756</v>
      </c>
      <c r="G483" s="6">
        <v>756</v>
      </c>
      <c r="H483" s="6">
        <v>756</v>
      </c>
      <c r="I483" s="6">
        <v>756</v>
      </c>
      <c r="J483" s="6">
        <v>756</v>
      </c>
      <c r="K483" s="6">
        <v>756</v>
      </c>
      <c r="L483" s="6">
        <v>756</v>
      </c>
      <c r="M483" s="6">
        <v>756</v>
      </c>
      <c r="N483" s="6">
        <v>756</v>
      </c>
      <c r="O483" s="6">
        <v>756</v>
      </c>
      <c r="P483" s="6">
        <v>756</v>
      </c>
      <c r="Q483" s="6">
        <v>756</v>
      </c>
      <c r="R483" s="6">
        <v>756</v>
      </c>
      <c r="S483" s="6">
        <v>756</v>
      </c>
      <c r="T483" s="6">
        <v>756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x14ac:dyDescent="0.2">
      <c r="A484" s="3"/>
      <c r="B484" s="3"/>
      <c r="C484" t="s">
        <v>5</v>
      </c>
      <c r="F484" s="5" t="s">
        <v>71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32" x14ac:dyDescent="0.2">
      <c r="A485" s="3"/>
      <c r="B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32" x14ac:dyDescent="0.2">
      <c r="A486" s="3" t="s">
        <v>58</v>
      </c>
      <c r="B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32" x14ac:dyDescent="0.2">
      <c r="A487" s="3"/>
      <c r="B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32" x14ac:dyDescent="0.2">
      <c r="A488" s="3"/>
      <c r="B488" s="3" t="s">
        <v>75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32" x14ac:dyDescent="0.2">
      <c r="A489" s="3"/>
      <c r="B489" s="3"/>
      <c r="D489" t="s">
        <v>144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32" x14ac:dyDescent="0.2">
      <c r="A490" s="3"/>
      <c r="B490" s="3"/>
      <c r="D490" t="s">
        <v>145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32" x14ac:dyDescent="0.2">
      <c r="A491" s="3"/>
      <c r="B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32" hidden="1" x14ac:dyDescent="0.2">
      <c r="A492" s="3"/>
      <c r="B492" s="3"/>
      <c r="C492" t="s">
        <v>147</v>
      </c>
      <c r="F492" s="10">
        <f>499401+169611</f>
        <v>669012</v>
      </c>
      <c r="G492" s="10">
        <f>384499+177465</f>
        <v>561964</v>
      </c>
      <c r="H492" s="10">
        <f>246879+149191</f>
        <v>396070</v>
      </c>
      <c r="I492" s="10">
        <f>113692+210504</f>
        <v>324196</v>
      </c>
      <c r="J492" s="10">
        <f>51932+209903</f>
        <v>261835</v>
      </c>
      <c r="K492" s="10">
        <f>130190+36192</f>
        <v>166382</v>
      </c>
      <c r="L492" s="10">
        <f>155064+33912</f>
        <v>188976</v>
      </c>
      <c r="M492" s="10">
        <f>164241+33760</f>
        <v>198001</v>
      </c>
      <c r="N492" s="10">
        <f>163981+27690</f>
        <v>191671</v>
      </c>
      <c r="O492" s="10">
        <f>152450+37452</f>
        <v>189902</v>
      </c>
      <c r="P492" s="10">
        <f>244778+74296</f>
        <v>319074</v>
      </c>
      <c r="Q492" s="10">
        <f>132736+112577</f>
        <v>245313</v>
      </c>
      <c r="R492" s="10">
        <v>225262</v>
      </c>
      <c r="S492" s="10">
        <v>166697</v>
      </c>
      <c r="T492" s="10">
        <v>116507</v>
      </c>
      <c r="U492" s="6"/>
      <c r="V492" s="6"/>
      <c r="W492" s="6"/>
      <c r="X492" s="6"/>
    </row>
    <row r="493" spans="1:32" s="7" customFormat="1" x14ac:dyDescent="0.2">
      <c r="C493" t="s">
        <v>147</v>
      </c>
      <c r="F493" s="10">
        <v>14066</v>
      </c>
      <c r="G493" s="10">
        <v>13706</v>
      </c>
      <c r="H493" s="10">
        <v>11801</v>
      </c>
      <c r="I493" s="10">
        <v>10067</v>
      </c>
      <c r="J493" s="10">
        <v>5775</v>
      </c>
      <c r="K493" s="10">
        <v>4266</v>
      </c>
      <c r="L493" s="10">
        <v>3873</v>
      </c>
      <c r="M493" s="10">
        <v>3789</v>
      </c>
      <c r="N493" s="10">
        <v>3311</v>
      </c>
      <c r="O493" s="10">
        <v>3814</v>
      </c>
      <c r="P493" s="10">
        <v>3865</v>
      </c>
      <c r="Q493" s="10">
        <v>3926</v>
      </c>
      <c r="R493" s="10">
        <v>3801</v>
      </c>
      <c r="S493" s="10">
        <v>3540</v>
      </c>
      <c r="T493" s="10">
        <v>3373</v>
      </c>
      <c r="U493" s="6"/>
      <c r="V493" s="6"/>
      <c r="W493" s="6"/>
      <c r="X493" s="6"/>
    </row>
    <row r="494" spans="1:32" x14ac:dyDescent="0.2">
      <c r="A494" s="3"/>
      <c r="B494" s="3"/>
      <c r="C494" t="s">
        <v>158</v>
      </c>
      <c r="F494" s="6">
        <v>14066</v>
      </c>
      <c r="G494" s="6">
        <v>14066</v>
      </c>
      <c r="H494" s="6">
        <v>14066</v>
      </c>
      <c r="I494" s="6">
        <v>14066</v>
      </c>
      <c r="J494" s="6">
        <v>14066</v>
      </c>
      <c r="K494" s="6">
        <v>14066</v>
      </c>
      <c r="L494" s="6">
        <v>14066</v>
      </c>
      <c r="M494" s="6">
        <v>14066</v>
      </c>
      <c r="N494" s="6">
        <v>14066</v>
      </c>
      <c r="O494" s="6">
        <v>14066</v>
      </c>
      <c r="P494" s="6">
        <v>14066</v>
      </c>
      <c r="Q494" s="6">
        <v>14066</v>
      </c>
      <c r="R494" s="6">
        <v>14066</v>
      </c>
      <c r="S494" s="6">
        <v>14066</v>
      </c>
      <c r="T494" s="6">
        <v>14066</v>
      </c>
      <c r="U494" s="6"/>
      <c r="V494" s="6"/>
      <c r="W494" s="6"/>
      <c r="X494" s="6"/>
    </row>
    <row r="495" spans="1:32" x14ac:dyDescent="0.2">
      <c r="A495" s="3"/>
      <c r="B495" s="3"/>
      <c r="C495" t="s">
        <v>5</v>
      </c>
      <c r="F495" s="5" t="s">
        <v>79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32" x14ac:dyDescent="0.2">
      <c r="A496" s="3"/>
      <c r="B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45" x14ac:dyDescent="0.2">
      <c r="A497" s="3"/>
      <c r="B497" s="3" t="s">
        <v>59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45" x14ac:dyDescent="0.2">
      <c r="A498" s="3"/>
      <c r="B498" s="3"/>
      <c r="D498" t="s">
        <v>119</v>
      </c>
      <c r="F498" s="5">
        <v>-0.03</v>
      </c>
      <c r="G498" s="5">
        <v>-0.03</v>
      </c>
      <c r="H498" s="5">
        <v>-0.03</v>
      </c>
      <c r="I498" s="5">
        <v>-0.03</v>
      </c>
      <c r="J498" s="5">
        <v>-0.03</v>
      </c>
      <c r="K498" s="5">
        <v>-0.03</v>
      </c>
      <c r="L498" s="5">
        <v>-0.03</v>
      </c>
      <c r="M498" s="5">
        <v>-0.03</v>
      </c>
      <c r="N498" s="5">
        <v>-0.03</v>
      </c>
      <c r="O498" s="5">
        <v>-0.03</v>
      </c>
      <c r="P498" s="5">
        <v>-0.03</v>
      </c>
      <c r="Q498" s="5">
        <v>-0.03</v>
      </c>
      <c r="R498" s="5">
        <v>-0.03</v>
      </c>
      <c r="S498" s="5">
        <v>-0.03</v>
      </c>
      <c r="T498" s="5">
        <v>-0.03</v>
      </c>
    </row>
    <row r="499" spans="1:45" x14ac:dyDescent="0.2">
      <c r="A499" s="3"/>
      <c r="B499" s="3"/>
      <c r="D499" t="s">
        <v>118</v>
      </c>
      <c r="F499" s="5">
        <v>-0.03</v>
      </c>
      <c r="G499" s="5">
        <v>-0.03</v>
      </c>
      <c r="H499" s="5">
        <v>-0.03</v>
      </c>
      <c r="I499" s="5">
        <v>-0.03</v>
      </c>
      <c r="J499" s="5">
        <v>-0.03</v>
      </c>
      <c r="K499" s="5">
        <v>-0.03</v>
      </c>
      <c r="L499" s="5">
        <v>-0.03</v>
      </c>
      <c r="M499" s="5">
        <v>-0.03</v>
      </c>
      <c r="N499" s="5">
        <v>-0.03</v>
      </c>
      <c r="O499" s="5">
        <v>-0.03</v>
      </c>
      <c r="P499" s="5">
        <v>-0.03</v>
      </c>
      <c r="Q499" s="5">
        <v>-0.03</v>
      </c>
      <c r="R499" s="5">
        <v>-0.03</v>
      </c>
      <c r="S499" s="5">
        <v>-0.03</v>
      </c>
      <c r="T499" s="5">
        <v>-0.03</v>
      </c>
    </row>
    <row r="500" spans="1:45" x14ac:dyDescent="0.2">
      <c r="A500" s="3"/>
      <c r="B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45" hidden="1" x14ac:dyDescent="0.2">
      <c r="A501" s="3"/>
      <c r="B501" s="3"/>
      <c r="C501" t="s">
        <v>146</v>
      </c>
      <c r="F501" s="8">
        <f>3500+4500</f>
        <v>8000</v>
      </c>
      <c r="G501" s="8">
        <f>3500+4500</f>
        <v>8000</v>
      </c>
      <c r="H501" s="8">
        <f>3500+4500</f>
        <v>8000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</row>
    <row r="502" spans="1:45" s="7" customFormat="1" x14ac:dyDescent="0.2">
      <c r="C502" t="s">
        <v>146</v>
      </c>
      <c r="F502" s="9">
        <f>F501/31</f>
        <v>258.06451612903226</v>
      </c>
      <c r="G502" s="9">
        <f>G501/29</f>
        <v>275.86206896551727</v>
      </c>
      <c r="H502" s="9">
        <f>H501/31</f>
        <v>258.06451612903226</v>
      </c>
      <c r="I502" s="9">
        <f>I501/30</f>
        <v>0</v>
      </c>
      <c r="J502" s="9">
        <f>J501/31</f>
        <v>0</v>
      </c>
      <c r="K502" s="9">
        <f>K501/30</f>
        <v>0</v>
      </c>
      <c r="L502" s="9">
        <f>L501/31</f>
        <v>0</v>
      </c>
      <c r="M502" s="9">
        <f>M501/31</f>
        <v>0</v>
      </c>
      <c r="N502" s="9">
        <f>N501/30</f>
        <v>0</v>
      </c>
      <c r="O502" s="9">
        <f>O501/31</f>
        <v>0</v>
      </c>
      <c r="P502" s="9">
        <f>P501/30</f>
        <v>0</v>
      </c>
      <c r="Q502" s="9">
        <f>Q501/31</f>
        <v>0</v>
      </c>
      <c r="R502" s="9">
        <f>R501/31</f>
        <v>0</v>
      </c>
      <c r="S502" s="9">
        <f>S501/28</f>
        <v>0</v>
      </c>
      <c r="T502" s="9">
        <f>T501/31</f>
        <v>0</v>
      </c>
    </row>
    <row r="503" spans="1:45" x14ac:dyDescent="0.2">
      <c r="A503" s="3"/>
      <c r="B503" s="3"/>
      <c r="C503" t="s">
        <v>116</v>
      </c>
      <c r="F503" s="6">
        <v>150</v>
      </c>
      <c r="G503" s="6">
        <v>150</v>
      </c>
      <c r="H503" s="6">
        <v>150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</row>
    <row r="504" spans="1:45" x14ac:dyDescent="0.2">
      <c r="A504" s="3"/>
      <c r="B504" s="3"/>
      <c r="C504" t="s">
        <v>5</v>
      </c>
      <c r="F504" s="5" t="s">
        <v>68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45" x14ac:dyDescent="0.2">
      <c r="A505" s="3"/>
      <c r="B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45" x14ac:dyDescent="0.2">
      <c r="A506" s="3"/>
      <c r="B506" s="3" t="s">
        <v>60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45" x14ac:dyDescent="0.2">
      <c r="A507" s="3"/>
      <c r="B507" s="3"/>
      <c r="D507" t="s">
        <v>119</v>
      </c>
      <c r="F507" s="5">
        <v>2.5000000000000001E-2</v>
      </c>
      <c r="G507" s="5">
        <v>2.5000000000000001E-2</v>
      </c>
      <c r="H507" s="5">
        <v>2.5000000000000001E-2</v>
      </c>
      <c r="I507" s="5">
        <v>0.01</v>
      </c>
      <c r="J507" s="5">
        <v>0.01</v>
      </c>
      <c r="K507" s="5">
        <v>0.01</v>
      </c>
      <c r="L507" s="5">
        <v>0.01</v>
      </c>
      <c r="M507" s="5">
        <v>0.01</v>
      </c>
      <c r="N507" s="5">
        <v>0.01</v>
      </c>
      <c r="O507" s="5">
        <v>0.01</v>
      </c>
      <c r="P507" s="5">
        <v>0.03</v>
      </c>
      <c r="Q507" s="5">
        <v>0.03</v>
      </c>
      <c r="R507" s="5">
        <v>0.03</v>
      </c>
      <c r="S507" s="5">
        <v>0.03</v>
      </c>
      <c r="T507" s="5">
        <v>0.03</v>
      </c>
    </row>
    <row r="508" spans="1:45" x14ac:dyDescent="0.2">
      <c r="A508" s="3"/>
      <c r="B508" s="3"/>
      <c r="D508" t="s">
        <v>118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45" x14ac:dyDescent="0.2">
      <c r="A509" s="3"/>
      <c r="B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 spans="1:45" hidden="1" x14ac:dyDescent="0.2">
      <c r="A510" s="3"/>
      <c r="B510" s="3"/>
      <c r="C510" t="s">
        <v>146</v>
      </c>
      <c r="F510" s="10">
        <f>240184+363+4477</f>
        <v>245024</v>
      </c>
      <c r="G510" s="10">
        <f>189853+414+4408</f>
        <v>194675</v>
      </c>
      <c r="H510" s="10">
        <f>166813+239+3404</f>
        <v>170456</v>
      </c>
      <c r="I510" s="10">
        <f>85167+2379+2292</f>
        <v>89838</v>
      </c>
      <c r="J510" s="10">
        <f>43589+162+762</f>
        <v>44513</v>
      </c>
      <c r="K510" s="10">
        <f>23204+76+538</f>
        <v>23818</v>
      </c>
      <c r="L510" s="10">
        <f>14589+77+439</f>
        <v>15105</v>
      </c>
      <c r="M510" s="10">
        <f>11893+77+484</f>
        <v>12454</v>
      </c>
      <c r="N510" s="10">
        <f>12111+75+449</f>
        <v>12635</v>
      </c>
      <c r="O510" s="10">
        <f>20267+3+327</f>
        <v>20597</v>
      </c>
      <c r="P510" s="10">
        <f>27297</f>
        <v>27297</v>
      </c>
      <c r="Q510" s="10">
        <f>29474</f>
        <v>29474</v>
      </c>
      <c r="R510" s="10">
        <f>31418</f>
        <v>31418</v>
      </c>
      <c r="S510" s="10">
        <f>19314</f>
        <v>19314</v>
      </c>
      <c r="T510" s="10">
        <f>7119</f>
        <v>7119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 spans="1:45" s="7" customFormat="1" x14ac:dyDescent="0.2">
      <c r="C511" t="s">
        <v>146</v>
      </c>
      <c r="F511" s="10">
        <f>F510/31</f>
        <v>7904</v>
      </c>
      <c r="G511" s="10">
        <f>G510/29</f>
        <v>6712.9310344827591</v>
      </c>
      <c r="H511" s="10">
        <f>H510/31</f>
        <v>5498.5806451612907</v>
      </c>
      <c r="I511" s="10">
        <f>I510/30</f>
        <v>2994.6</v>
      </c>
      <c r="J511" s="10">
        <f>J510/31</f>
        <v>1435.9032258064517</v>
      </c>
      <c r="K511" s="10">
        <f>K510/30</f>
        <v>793.93333333333328</v>
      </c>
      <c r="L511" s="10">
        <f>L510/31</f>
        <v>487.25806451612902</v>
      </c>
      <c r="M511" s="10">
        <f>M510/31</f>
        <v>401.74193548387098</v>
      </c>
      <c r="N511" s="10">
        <f>N510/30</f>
        <v>421.16666666666669</v>
      </c>
      <c r="O511" s="10">
        <f>O510/31</f>
        <v>664.41935483870964</v>
      </c>
      <c r="P511" s="10">
        <f>P510/30</f>
        <v>909.9</v>
      </c>
      <c r="Q511" s="10">
        <f>Q510/31</f>
        <v>950.77419354838707</v>
      </c>
      <c r="R511" s="10">
        <f>R510/31</f>
        <v>1013.483870967742</v>
      </c>
      <c r="S511" s="10">
        <f>S510/28</f>
        <v>689.78571428571433</v>
      </c>
      <c r="T511" s="10">
        <f>T510/31</f>
        <v>229.64516129032259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 spans="1:45" x14ac:dyDescent="0.2">
      <c r="A512" s="3"/>
      <c r="B512" s="3"/>
      <c r="C512" t="s">
        <v>116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 spans="1:23" x14ac:dyDescent="0.2">
      <c r="A513" s="3"/>
      <c r="B513" s="3"/>
      <c r="C513" t="s">
        <v>5</v>
      </c>
      <c r="F513" s="5" t="s">
        <v>69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3" x14ac:dyDescent="0.2">
      <c r="A514" s="3"/>
      <c r="B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3" x14ac:dyDescent="0.2">
      <c r="A515" s="3"/>
      <c r="B515" s="3" t="s">
        <v>61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3" x14ac:dyDescent="0.2">
      <c r="A516" s="3"/>
      <c r="B516" s="3"/>
      <c r="D516" t="s">
        <v>120</v>
      </c>
      <c r="F516" s="5">
        <v>4.4999999999999998E-2</v>
      </c>
      <c r="G516" s="5">
        <v>4.4999999999999998E-2</v>
      </c>
      <c r="H516" s="5">
        <v>4.4999999999999998E-2</v>
      </c>
      <c r="I516" s="5">
        <v>0.01</v>
      </c>
      <c r="J516" s="5">
        <v>0.01</v>
      </c>
      <c r="K516" s="5">
        <v>0.01</v>
      </c>
      <c r="L516" s="5">
        <v>0.01</v>
      </c>
      <c r="M516" s="5">
        <v>0.01</v>
      </c>
      <c r="N516" s="5">
        <v>0.01</v>
      </c>
      <c r="O516" s="5">
        <v>0.01</v>
      </c>
      <c r="P516" s="5">
        <v>0.04</v>
      </c>
      <c r="Q516" s="5">
        <v>0.04</v>
      </c>
      <c r="R516" s="5">
        <v>0.04</v>
      </c>
      <c r="S516" s="5">
        <v>0.04</v>
      </c>
      <c r="T516" s="5">
        <v>0.04</v>
      </c>
    </row>
    <row r="517" spans="1:23" x14ac:dyDescent="0.2">
      <c r="A517" s="3"/>
      <c r="B517" s="3"/>
      <c r="D517" t="s">
        <v>121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3" x14ac:dyDescent="0.2">
      <c r="A518" s="3"/>
      <c r="B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idden="1" x14ac:dyDescent="0.2">
      <c r="A519" s="3"/>
      <c r="B519" s="3"/>
      <c r="C519" t="s">
        <v>146</v>
      </c>
      <c r="F519" s="10">
        <f>5782+9028+43507</f>
        <v>58317</v>
      </c>
      <c r="G519" s="10">
        <f>5075+7482+40769</f>
        <v>53326</v>
      </c>
      <c r="H519" s="10">
        <f>3995+7174+37839</f>
        <v>49008</v>
      </c>
      <c r="I519" s="10">
        <f>791+2563+26146</f>
        <v>29500</v>
      </c>
      <c r="J519" s="10">
        <f>632+1727+16450</f>
        <v>18809</v>
      </c>
      <c r="K519" s="10">
        <f>602+1497+13439</f>
        <v>15538</v>
      </c>
      <c r="L519" s="10">
        <f>611+1402+12551</f>
        <v>14564</v>
      </c>
      <c r="M519" s="10">
        <f>611+1359+12546</f>
        <v>14516</v>
      </c>
      <c r="N519" s="10">
        <f>596+1358+11570</f>
        <v>13524</v>
      </c>
      <c r="O519" s="10">
        <f>556+996+14928</f>
        <v>16480</v>
      </c>
      <c r="P519" s="10">
        <f>536+754+18569</f>
        <v>19859</v>
      </c>
      <c r="Q519" s="10">
        <f>548+767+20604</f>
        <v>21919</v>
      </c>
      <c r="R519" s="10">
        <f>548+767+19194</f>
        <v>20509</v>
      </c>
      <c r="S519" s="10">
        <f>512+728+18612</f>
        <v>19852</v>
      </c>
      <c r="T519" s="10">
        <f>544+767+17898</f>
        <v>19209</v>
      </c>
      <c r="U519" s="6"/>
      <c r="V519" s="6"/>
      <c r="W519" s="6"/>
    </row>
    <row r="520" spans="1:23" s="7" customFormat="1" x14ac:dyDescent="0.2">
      <c r="C520" t="s">
        <v>146</v>
      </c>
      <c r="F520" s="10">
        <f>F519/31</f>
        <v>1881.1935483870968</v>
      </c>
      <c r="G520" s="10">
        <f>G519/29</f>
        <v>1838.8275862068965</v>
      </c>
      <c r="H520" s="10">
        <f>H519/31</f>
        <v>1580.9032258064517</v>
      </c>
      <c r="I520" s="10">
        <f>I519/30</f>
        <v>983.33333333333337</v>
      </c>
      <c r="J520" s="10">
        <f>J519/31</f>
        <v>606.74193548387098</v>
      </c>
      <c r="K520" s="10">
        <f>K519/30</f>
        <v>517.93333333333328</v>
      </c>
      <c r="L520" s="10">
        <f>L519/31</f>
        <v>469.80645161290323</v>
      </c>
      <c r="M520" s="10">
        <f>M519/31</f>
        <v>468.25806451612902</v>
      </c>
      <c r="N520" s="10">
        <f>N519/30</f>
        <v>450.8</v>
      </c>
      <c r="O520" s="10">
        <f>O519/31</f>
        <v>531.61290322580646</v>
      </c>
      <c r="P520" s="10">
        <f>P519/30</f>
        <v>661.9666666666667</v>
      </c>
      <c r="Q520" s="10">
        <f>Q519/31</f>
        <v>707.06451612903231</v>
      </c>
      <c r="R520" s="10">
        <f>R519/31</f>
        <v>661.58064516129036</v>
      </c>
      <c r="S520" s="10">
        <f>S519/28</f>
        <v>709</v>
      </c>
      <c r="T520" s="10">
        <f>T519/31</f>
        <v>619.64516129032256</v>
      </c>
      <c r="U520" s="6"/>
      <c r="V520" s="6"/>
      <c r="W520" s="6"/>
    </row>
    <row r="521" spans="1:23" x14ac:dyDescent="0.2">
      <c r="A521" s="3"/>
      <c r="B521" s="3"/>
      <c r="C521" t="s">
        <v>116</v>
      </c>
      <c r="F521" s="6">
        <v>572</v>
      </c>
      <c r="G521" s="6">
        <v>572</v>
      </c>
      <c r="H521" s="6">
        <v>572</v>
      </c>
      <c r="I521" s="6">
        <v>572</v>
      </c>
      <c r="J521" s="6">
        <v>572</v>
      </c>
      <c r="K521" s="6">
        <v>572</v>
      </c>
      <c r="L521" s="6">
        <v>572</v>
      </c>
      <c r="M521" s="6">
        <v>572</v>
      </c>
      <c r="N521" s="6">
        <v>572</v>
      </c>
      <c r="O521" s="6">
        <v>572</v>
      </c>
      <c r="P521" s="6">
        <v>572</v>
      </c>
      <c r="Q521" s="6">
        <v>572</v>
      </c>
      <c r="R521" s="6">
        <v>572</v>
      </c>
      <c r="S521" s="6">
        <v>572</v>
      </c>
      <c r="T521" s="6">
        <v>572</v>
      </c>
      <c r="U521" s="6"/>
      <c r="V521" s="6"/>
      <c r="W521" s="6"/>
    </row>
    <row r="522" spans="1:23" x14ac:dyDescent="0.2">
      <c r="A522" s="3"/>
      <c r="B522" s="3"/>
      <c r="C522" t="s">
        <v>5</v>
      </c>
      <c r="F522" s="5" t="s">
        <v>70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3" x14ac:dyDescent="0.2">
      <c r="A523" s="3"/>
      <c r="B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3" x14ac:dyDescent="0.2">
      <c r="A524" s="3" t="s">
        <v>62</v>
      </c>
      <c r="B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3" x14ac:dyDescent="0.2">
      <c r="A525" s="3"/>
      <c r="B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3" x14ac:dyDescent="0.2">
      <c r="A526" s="3"/>
      <c r="B526" s="3" t="s">
        <v>59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3" x14ac:dyDescent="0.2">
      <c r="A527" s="3"/>
      <c r="B527" s="3"/>
      <c r="D527" t="s">
        <v>119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3" x14ac:dyDescent="0.2">
      <c r="A528" s="3"/>
      <c r="B528" s="3"/>
      <c r="D528" t="s">
        <v>125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50" x14ac:dyDescent="0.2">
      <c r="A529" s="3"/>
      <c r="B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50" x14ac:dyDescent="0.2">
      <c r="A530" s="3"/>
      <c r="B530" s="3"/>
      <c r="C530" t="s">
        <v>146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</row>
    <row r="531" spans="1:50" x14ac:dyDescent="0.2">
      <c r="A531" s="3"/>
      <c r="B531" s="3"/>
      <c r="C531" t="s">
        <v>116</v>
      </c>
      <c r="F531" s="6">
        <v>453</v>
      </c>
      <c r="G531" s="6">
        <v>453</v>
      </c>
      <c r="H531" s="6">
        <v>453</v>
      </c>
      <c r="I531" s="6">
        <v>453</v>
      </c>
      <c r="J531" s="6">
        <v>453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</row>
    <row r="532" spans="1:50" x14ac:dyDescent="0.2">
      <c r="A532" s="3"/>
      <c r="B532" s="3"/>
      <c r="C532" t="s">
        <v>5</v>
      </c>
      <c r="F532" s="5" t="s">
        <v>67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50" x14ac:dyDescent="0.2">
      <c r="A533" s="3"/>
      <c r="B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50" x14ac:dyDescent="0.2">
      <c r="A534" s="3"/>
      <c r="B534" s="3" t="s">
        <v>63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50" x14ac:dyDescent="0.2">
      <c r="A535" s="3"/>
      <c r="B535" s="3"/>
      <c r="D535" t="s">
        <v>138</v>
      </c>
      <c r="F535" s="5">
        <v>0.2</v>
      </c>
      <c r="G535" s="5">
        <v>0.2</v>
      </c>
      <c r="H535" s="5">
        <v>0.2</v>
      </c>
      <c r="I535" s="5">
        <v>0.1</v>
      </c>
      <c r="J535" s="5">
        <v>0.1</v>
      </c>
      <c r="K535" s="5">
        <v>0.1</v>
      </c>
      <c r="L535" s="5">
        <v>0.1</v>
      </c>
      <c r="M535" s="5">
        <v>0.1</v>
      </c>
      <c r="N535" s="5">
        <v>0.1</v>
      </c>
      <c r="O535" s="5">
        <v>0.1</v>
      </c>
      <c r="P535" s="5">
        <v>0.25</v>
      </c>
      <c r="Q535" s="5">
        <v>0.25</v>
      </c>
      <c r="R535" s="5">
        <v>0.25</v>
      </c>
      <c r="S535" s="5">
        <v>0.25</v>
      </c>
      <c r="T535" s="5">
        <v>0.25</v>
      </c>
    </row>
    <row r="536" spans="1:50" x14ac:dyDescent="0.2">
      <c r="A536" s="3"/>
      <c r="B536" s="3"/>
      <c r="D536" t="s">
        <v>137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50" x14ac:dyDescent="0.2">
      <c r="A537" s="3"/>
      <c r="B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spans="1:50" hidden="1" x14ac:dyDescent="0.2">
      <c r="A538" s="3"/>
      <c r="B538" s="3"/>
      <c r="C538" t="s">
        <v>115</v>
      </c>
      <c r="F538" s="10">
        <f>997+1560+605+9069+620+688+38419+10075+1856+1000</f>
        <v>64889</v>
      </c>
      <c r="G538" s="10">
        <f>949+1435+605+8556+600+700+38361+1758+565</f>
        <v>53529</v>
      </c>
      <c r="H538" s="10">
        <f>817+1300+500+610+400+29526+2507+588</f>
        <v>36248</v>
      </c>
      <c r="I538" s="10">
        <f>280+400+600+26346+2829+588</f>
        <v>31043</v>
      </c>
      <c r="J538" s="10">
        <f>96+300+580+24552+2930+567</f>
        <v>29025</v>
      </c>
      <c r="K538" s="10">
        <f>53+200+400+24487+1201+536</f>
        <v>26877</v>
      </c>
      <c r="L538" s="10">
        <f>51+100+350+22943+984+652</f>
        <v>25080</v>
      </c>
      <c r="M538" s="10">
        <f>49+100+350+24562+1131+621</f>
        <v>26813</v>
      </c>
      <c r="N538" s="10">
        <f>56+120+300+24633+1183+450</f>
        <v>26742</v>
      </c>
      <c r="O538" s="10">
        <f>64+300+400+27441+3060+465</f>
        <v>31730</v>
      </c>
      <c r="P538" s="10">
        <f>350+450+6203+480</f>
        <v>7483</v>
      </c>
      <c r="Q538" s="10">
        <f>605+600+7503+550</f>
        <v>9258</v>
      </c>
      <c r="R538" s="10">
        <f>605+620+8433</f>
        <v>9658</v>
      </c>
      <c r="S538" s="10">
        <f>605+580+5925</f>
        <v>7110</v>
      </c>
      <c r="T538" s="10">
        <f>500+4579</f>
        <v>5079</v>
      </c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spans="1:50" s="7" customFormat="1" x14ac:dyDescent="0.2">
      <c r="C539" t="s">
        <v>146</v>
      </c>
      <c r="F539" s="10">
        <f>F538/31</f>
        <v>2093.1935483870966</v>
      </c>
      <c r="G539" s="10">
        <f>G538/29</f>
        <v>1845.8275862068965</v>
      </c>
      <c r="H539" s="10">
        <f>H538/31</f>
        <v>1169.2903225806451</v>
      </c>
      <c r="I539" s="10">
        <f>I538/30</f>
        <v>1034.7666666666667</v>
      </c>
      <c r="J539" s="10">
        <f>J538/31</f>
        <v>936.29032258064512</v>
      </c>
      <c r="K539" s="10">
        <f>K538/30</f>
        <v>895.9</v>
      </c>
      <c r="L539" s="10">
        <f>L538/31</f>
        <v>809.0322580645161</v>
      </c>
      <c r="M539" s="10">
        <f>M538/31</f>
        <v>864.93548387096769</v>
      </c>
      <c r="N539" s="10">
        <f>N538/30</f>
        <v>891.4</v>
      </c>
      <c r="O539" s="10">
        <f>O538/31</f>
        <v>1023.5483870967741</v>
      </c>
      <c r="P539" s="10">
        <f>P538/30</f>
        <v>249.43333333333334</v>
      </c>
      <c r="Q539" s="10">
        <f>Q538/31</f>
        <v>298.64516129032256</v>
      </c>
      <c r="R539" s="10">
        <f>R538/31</f>
        <v>311.54838709677421</v>
      </c>
      <c r="S539" s="10">
        <f>S538/28</f>
        <v>253.92857142857142</v>
      </c>
      <c r="T539" s="10">
        <f>T538/31</f>
        <v>163.83870967741936</v>
      </c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spans="1:50" x14ac:dyDescent="0.2">
      <c r="A540" s="3"/>
      <c r="B540" s="3"/>
      <c r="C540" t="s">
        <v>116</v>
      </c>
      <c r="F540" s="6">
        <v>28</v>
      </c>
      <c r="G540" s="6">
        <v>28</v>
      </c>
      <c r="H540" s="6">
        <v>28</v>
      </c>
      <c r="I540" s="6">
        <v>28</v>
      </c>
      <c r="J540" s="6">
        <v>28</v>
      </c>
      <c r="K540" s="6">
        <v>28</v>
      </c>
      <c r="L540" s="6">
        <v>28</v>
      </c>
      <c r="M540" s="6">
        <v>28</v>
      </c>
      <c r="N540" s="6">
        <v>28</v>
      </c>
      <c r="O540" s="6">
        <v>28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spans="1:50" x14ac:dyDescent="0.2">
      <c r="A541" s="3"/>
      <c r="B541" s="3"/>
      <c r="C541" t="s">
        <v>5</v>
      </c>
      <c r="F541" s="5" t="s">
        <v>66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50" x14ac:dyDescent="0.2">
      <c r="A542" s="3"/>
      <c r="B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50" x14ac:dyDescent="0.2">
      <c r="A543" s="3"/>
      <c r="B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50" x14ac:dyDescent="0.2">
      <c r="A544" s="3" t="s">
        <v>160</v>
      </c>
      <c r="B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50" x14ac:dyDescent="0.2">
      <c r="A545" s="3"/>
      <c r="B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50" x14ac:dyDescent="0.2">
      <c r="A546" s="3"/>
      <c r="B546" s="3"/>
      <c r="D546" t="s">
        <v>161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50" x14ac:dyDescent="0.2">
      <c r="A547" s="3"/>
      <c r="B547" s="3"/>
      <c r="D547" t="s">
        <v>4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50" x14ac:dyDescent="0.2">
      <c r="A548" s="3"/>
      <c r="B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spans="1:50" hidden="1" x14ac:dyDescent="0.2">
      <c r="A549" s="3"/>
      <c r="B549" s="3"/>
      <c r="C549" t="s">
        <v>115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spans="1:50" s="7" customFormat="1" x14ac:dyDescent="0.2">
      <c r="C550" t="s">
        <v>147</v>
      </c>
      <c r="F550" s="10">
        <v>4115</v>
      </c>
      <c r="G550" s="10">
        <v>4061</v>
      </c>
      <c r="H550" s="10">
        <v>3641</v>
      </c>
      <c r="I550" s="10">
        <v>2617</v>
      </c>
      <c r="J550" s="10">
        <f>J549/31</f>
        <v>0</v>
      </c>
      <c r="K550" s="10">
        <f>K549/30</f>
        <v>0</v>
      </c>
      <c r="L550" s="10">
        <f>L549/31</f>
        <v>0</v>
      </c>
      <c r="M550" s="10">
        <f>M549/31</f>
        <v>0</v>
      </c>
      <c r="N550" s="10">
        <f>N549/30</f>
        <v>0</v>
      </c>
      <c r="O550" s="10">
        <v>1016</v>
      </c>
      <c r="P550" s="10">
        <v>1183</v>
      </c>
      <c r="Q550" s="10">
        <v>1155</v>
      </c>
      <c r="R550" s="10">
        <v>1112</v>
      </c>
      <c r="S550" s="10">
        <v>1041</v>
      </c>
      <c r="T550" s="10">
        <v>1037</v>
      </c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spans="1:50" x14ac:dyDescent="0.2">
      <c r="A551" s="3"/>
      <c r="B551" s="3"/>
      <c r="C551" t="s">
        <v>116</v>
      </c>
      <c r="F551" s="6">
        <v>3843</v>
      </c>
      <c r="G551" s="6">
        <v>3843</v>
      </c>
      <c r="H551" s="6">
        <v>3843</v>
      </c>
      <c r="I551" s="6">
        <v>3843</v>
      </c>
      <c r="J551" s="6">
        <v>3843</v>
      </c>
      <c r="K551" s="6">
        <v>3843</v>
      </c>
      <c r="L551" s="6">
        <v>3843</v>
      </c>
      <c r="M551" s="6">
        <v>3843</v>
      </c>
      <c r="N551" s="6">
        <v>3843</v>
      </c>
      <c r="O551" s="6">
        <v>3843</v>
      </c>
      <c r="P551" s="6">
        <v>3843</v>
      </c>
      <c r="Q551" s="6">
        <v>3843</v>
      </c>
      <c r="R551" s="6">
        <v>3843</v>
      </c>
      <c r="S551" s="6">
        <v>3843</v>
      </c>
      <c r="T551" s="6">
        <v>3843</v>
      </c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spans="1:50" x14ac:dyDescent="0.2">
      <c r="A552" s="3"/>
      <c r="B552" s="3"/>
      <c r="C552" t="s">
        <v>5</v>
      </c>
      <c r="F552" s="5" t="s">
        <v>66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50" x14ac:dyDescent="0.2">
      <c r="A553" s="3"/>
      <c r="B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50" x14ac:dyDescent="0.2">
      <c r="A554" s="3" t="s">
        <v>64</v>
      </c>
      <c r="B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50" x14ac:dyDescent="0.2">
      <c r="A555" s="3"/>
      <c r="B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50" x14ac:dyDescent="0.2">
      <c r="A556" s="3"/>
      <c r="B556" s="3"/>
      <c r="D556" t="s">
        <v>119</v>
      </c>
      <c r="F556" s="5">
        <v>0.2</v>
      </c>
      <c r="G556" s="5">
        <v>0.2</v>
      </c>
      <c r="H556" s="5">
        <v>0.2</v>
      </c>
      <c r="I556" s="5">
        <v>0.1</v>
      </c>
      <c r="J556" s="5">
        <v>0.1</v>
      </c>
      <c r="K556" s="5">
        <v>0.1</v>
      </c>
      <c r="L556" s="5">
        <v>0.1</v>
      </c>
      <c r="M556" s="5">
        <v>0.1</v>
      </c>
      <c r="N556" s="5">
        <v>0.1</v>
      </c>
      <c r="O556" s="5">
        <v>0.1</v>
      </c>
      <c r="P556" s="5">
        <v>0.25</v>
      </c>
      <c r="Q556" s="5">
        <v>0.25</v>
      </c>
      <c r="R556" s="5">
        <v>0.25</v>
      </c>
      <c r="S556" s="5">
        <v>0.25</v>
      </c>
      <c r="T556" s="5">
        <v>0.25</v>
      </c>
    </row>
    <row r="557" spans="1:50" x14ac:dyDescent="0.2">
      <c r="A557" s="3"/>
      <c r="B557" s="3"/>
      <c r="D557" t="s">
        <v>139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50" x14ac:dyDescent="0.2">
      <c r="A558" s="3"/>
      <c r="B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50" hidden="1" x14ac:dyDescent="0.2">
      <c r="A559" s="3"/>
      <c r="B559" s="3"/>
      <c r="C559" t="s">
        <v>115</v>
      </c>
      <c r="F559" s="10">
        <f>90+56267+3102+650+8600+72</f>
        <v>68781</v>
      </c>
      <c r="G559" s="10">
        <f>10+52659+1219+650+8000+68</f>
        <v>62606</v>
      </c>
      <c r="H559" s="10">
        <f>6+4291+1143+650+7500+67</f>
        <v>13657</v>
      </c>
      <c r="I559" s="10">
        <f>4+4792+1226+650+7000+76</f>
        <v>13748</v>
      </c>
      <c r="J559" s="10">
        <f>16+5486+10350+650+7000+68</f>
        <v>23570</v>
      </c>
      <c r="K559" s="10">
        <f>32+8205+3726+650+7020+71</f>
        <v>19704</v>
      </c>
      <c r="L559" s="10">
        <f>8377+3555+650+8000</f>
        <v>20582</v>
      </c>
      <c r="M559" s="10">
        <f>13012+5085+650+8000</f>
        <v>26747</v>
      </c>
      <c r="N559" s="10">
        <f>11510+6478+650+8500</f>
        <v>27138</v>
      </c>
      <c r="O559" s="10">
        <f>9140+5779+650+8500</f>
        <v>24069</v>
      </c>
      <c r="P559" s="10">
        <f>3718+650+7000</f>
        <v>11368</v>
      </c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50" s="7" customFormat="1" x14ac:dyDescent="0.2">
      <c r="C560" t="s">
        <v>146</v>
      </c>
      <c r="F560" s="10">
        <f>F559/31</f>
        <v>2218.7419354838707</v>
      </c>
      <c r="G560" s="10">
        <f>G559/29</f>
        <v>2158.8275862068967</v>
      </c>
      <c r="H560" s="10">
        <f>H559/31</f>
        <v>440.54838709677421</v>
      </c>
      <c r="I560" s="10">
        <f>I559/30</f>
        <v>458.26666666666665</v>
      </c>
      <c r="J560" s="10">
        <f>J559/31</f>
        <v>760.32258064516134</v>
      </c>
      <c r="K560" s="10">
        <f>K559/30</f>
        <v>656.8</v>
      </c>
      <c r="L560" s="10">
        <f>L559/31</f>
        <v>663.93548387096769</v>
      </c>
      <c r="M560" s="10">
        <f>M559/31</f>
        <v>862.80645161290317</v>
      </c>
      <c r="N560" s="10">
        <f>N559/30</f>
        <v>904.6</v>
      </c>
      <c r="O560" s="10">
        <f>O559/31</f>
        <v>776.41935483870964</v>
      </c>
      <c r="P560" s="10">
        <f>P559/30</f>
        <v>378.93333333333334</v>
      </c>
      <c r="Q560" s="10">
        <f>Q559/31</f>
        <v>0</v>
      </c>
      <c r="R560" s="10">
        <f>R559/31</f>
        <v>0</v>
      </c>
      <c r="S560" s="10">
        <f>S559/28</f>
        <v>0</v>
      </c>
      <c r="T560" s="10">
        <f>T559/31</f>
        <v>0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x14ac:dyDescent="0.2">
      <c r="A561" s="3"/>
      <c r="B561" s="3"/>
      <c r="C561" t="s">
        <v>116</v>
      </c>
      <c r="E561" s="7"/>
      <c r="F561" s="6">
        <v>355</v>
      </c>
      <c r="G561" s="6">
        <v>355</v>
      </c>
      <c r="H561" s="6">
        <v>355</v>
      </c>
      <c r="I561" s="6">
        <v>355</v>
      </c>
      <c r="J561" s="6">
        <v>355</v>
      </c>
      <c r="K561" s="6">
        <v>355</v>
      </c>
      <c r="L561" s="6">
        <v>355</v>
      </c>
      <c r="M561" s="6">
        <v>355</v>
      </c>
      <c r="N561" s="6">
        <v>355</v>
      </c>
      <c r="O561" s="6">
        <v>355</v>
      </c>
      <c r="P561" s="6">
        <v>263</v>
      </c>
      <c r="Q561" s="6">
        <v>263</v>
      </c>
      <c r="R561" s="6">
        <v>263</v>
      </c>
      <c r="S561" s="6">
        <v>263</v>
      </c>
      <c r="T561" s="6">
        <v>263</v>
      </c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x14ac:dyDescent="0.2">
      <c r="A562" s="3"/>
      <c r="B562" s="3"/>
      <c r="C562" t="s">
        <v>5</v>
      </c>
      <c r="F562" s="5" t="s">
        <v>66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31" x14ac:dyDescent="0.2">
      <c r="A563" s="3"/>
      <c r="B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31" x14ac:dyDescent="0.2">
      <c r="A564" s="3"/>
      <c r="B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31" x14ac:dyDescent="0.2">
      <c r="A565" s="3" t="s">
        <v>65</v>
      </c>
      <c r="B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31" x14ac:dyDescent="0.2">
      <c r="A566" s="3"/>
      <c r="B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31" x14ac:dyDescent="0.2">
      <c r="A567" s="3"/>
      <c r="B567" s="3"/>
      <c r="D567" t="s">
        <v>3</v>
      </c>
      <c r="F567" s="5" t="s">
        <v>122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31" x14ac:dyDescent="0.2">
      <c r="A568" s="3"/>
      <c r="B568" s="3"/>
      <c r="D568" t="s">
        <v>4</v>
      </c>
      <c r="F568" s="5" t="s">
        <v>140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31" x14ac:dyDescent="0.2">
      <c r="A569" s="3"/>
      <c r="B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31" x14ac:dyDescent="0.2">
      <c r="A570" s="3"/>
      <c r="B570" s="3"/>
      <c r="C570" t="s">
        <v>115</v>
      </c>
      <c r="F570" s="8">
        <v>4500</v>
      </c>
      <c r="G570" s="8">
        <v>4500</v>
      </c>
      <c r="H570" s="8">
        <v>4500</v>
      </c>
      <c r="I570" s="8">
        <v>4200</v>
      </c>
      <c r="J570" s="8">
        <v>4200</v>
      </c>
      <c r="K570" s="8">
        <v>4200</v>
      </c>
      <c r="L570" s="8">
        <v>4200</v>
      </c>
      <c r="M570" s="8">
        <v>4200</v>
      </c>
      <c r="N570" s="8">
        <v>4200</v>
      </c>
      <c r="O570" s="8">
        <v>4200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</row>
    <row r="571" spans="1:31" x14ac:dyDescent="0.2">
      <c r="A571" s="3"/>
      <c r="B571" s="3"/>
      <c r="C571" t="s">
        <v>116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</row>
    <row r="572" spans="1:31" x14ac:dyDescent="0.2">
      <c r="A572" s="3"/>
      <c r="B572" s="3"/>
      <c r="C572" t="s">
        <v>5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31" x14ac:dyDescent="0.2">
      <c r="A573" s="3"/>
      <c r="B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31" x14ac:dyDescent="0.2">
      <c r="A574" s="3"/>
      <c r="B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31" x14ac:dyDescent="0.2">
      <c r="A575" s="3" t="s">
        <v>72</v>
      </c>
      <c r="B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31" x14ac:dyDescent="0.2">
      <c r="A576" s="3"/>
      <c r="B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4" x14ac:dyDescent="0.2">
      <c r="A577" s="3"/>
      <c r="B577" s="3"/>
      <c r="D577" t="s">
        <v>126</v>
      </c>
      <c r="F577" s="5">
        <v>0.31</v>
      </c>
      <c r="G577" s="5">
        <v>0.31</v>
      </c>
      <c r="H577" s="5">
        <v>0.31</v>
      </c>
      <c r="I577" s="5">
        <v>0.27</v>
      </c>
      <c r="J577" s="5">
        <v>0.27</v>
      </c>
      <c r="K577" s="5">
        <v>0.27</v>
      </c>
      <c r="L577" s="5">
        <v>0.27</v>
      </c>
      <c r="M577" s="5">
        <v>0.27</v>
      </c>
      <c r="N577" s="5">
        <v>0.27</v>
      </c>
      <c r="O577" s="5">
        <v>0.27</v>
      </c>
      <c r="P577" s="5">
        <v>0.31</v>
      </c>
      <c r="Q577" s="5">
        <v>0.31</v>
      </c>
      <c r="R577" s="5">
        <v>0.31</v>
      </c>
      <c r="S577" s="5">
        <v>0.31</v>
      </c>
      <c r="T577" s="5">
        <v>0.31</v>
      </c>
    </row>
    <row r="578" spans="1:24" x14ac:dyDescent="0.2">
      <c r="A578" s="3"/>
      <c r="B578" s="3"/>
      <c r="D578" t="s">
        <v>127</v>
      </c>
      <c r="F578" s="5">
        <v>0.31</v>
      </c>
      <c r="G578" s="5">
        <v>0.31</v>
      </c>
      <c r="H578" s="5">
        <v>0.31</v>
      </c>
      <c r="I578" s="5">
        <v>0.27</v>
      </c>
      <c r="J578" s="5">
        <v>0.27</v>
      </c>
      <c r="K578" s="5">
        <v>0.27</v>
      </c>
      <c r="L578" s="5">
        <v>0.27</v>
      </c>
      <c r="M578" s="5">
        <v>0.27</v>
      </c>
      <c r="N578" s="5">
        <v>0.27</v>
      </c>
      <c r="O578" s="5">
        <v>0.27</v>
      </c>
      <c r="P578" s="5">
        <v>0.31</v>
      </c>
      <c r="Q578" s="5">
        <v>0.31</v>
      </c>
      <c r="R578" s="5">
        <v>0.31</v>
      </c>
      <c r="S578" s="5">
        <v>0.31</v>
      </c>
      <c r="T578" s="5">
        <v>0.31</v>
      </c>
    </row>
    <row r="579" spans="1:24" x14ac:dyDescent="0.2">
      <c r="A579" s="3"/>
      <c r="B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4" hidden="1" x14ac:dyDescent="0.2">
      <c r="A580" s="3"/>
      <c r="B580" s="3"/>
      <c r="C580" t="s">
        <v>115</v>
      </c>
      <c r="F580" s="8">
        <v>9127</v>
      </c>
      <c r="G580" s="8">
        <v>6543</v>
      </c>
      <c r="H580" s="8">
        <v>4501</v>
      </c>
      <c r="I580" s="8">
        <v>4045</v>
      </c>
      <c r="J580" s="8">
        <v>6366</v>
      </c>
      <c r="K580" s="8">
        <v>6428</v>
      </c>
      <c r="L580" s="8">
        <v>2499</v>
      </c>
      <c r="M580" s="8">
        <v>2447</v>
      </c>
      <c r="N580" s="8">
        <v>2570</v>
      </c>
      <c r="O580" s="8">
        <v>895</v>
      </c>
      <c r="P580" s="8">
        <v>37</v>
      </c>
      <c r="Q580" s="8">
        <v>53</v>
      </c>
      <c r="R580" s="8">
        <v>99</v>
      </c>
      <c r="S580" s="8">
        <v>68</v>
      </c>
      <c r="T580" s="8">
        <v>38</v>
      </c>
    </row>
    <row r="581" spans="1:24" s="7" customFormat="1" x14ac:dyDescent="0.2">
      <c r="C581" t="s">
        <v>146</v>
      </c>
      <c r="F581" s="9">
        <f>F580/31</f>
        <v>294.41935483870969</v>
      </c>
      <c r="G581" s="9">
        <f>G580/29</f>
        <v>225.62068965517241</v>
      </c>
      <c r="H581" s="9">
        <f>H580/31</f>
        <v>145.19354838709677</v>
      </c>
      <c r="I581" s="9">
        <f>I580/30</f>
        <v>134.83333333333334</v>
      </c>
      <c r="J581" s="9">
        <f>J580/31</f>
        <v>205.35483870967741</v>
      </c>
      <c r="K581" s="9">
        <f>K580/30</f>
        <v>214.26666666666668</v>
      </c>
      <c r="L581" s="9">
        <f>L580/31</f>
        <v>80.612903225806448</v>
      </c>
      <c r="M581" s="9">
        <f>M580/31</f>
        <v>78.935483870967744</v>
      </c>
      <c r="N581" s="9">
        <f>N580/30</f>
        <v>85.666666666666671</v>
      </c>
      <c r="O581" s="9">
        <f>O580/31</f>
        <v>28.870967741935484</v>
      </c>
      <c r="P581" s="9">
        <f>P580/30</f>
        <v>1.2333333333333334</v>
      </c>
      <c r="Q581" s="9">
        <f>Q580/31</f>
        <v>1.7096774193548387</v>
      </c>
      <c r="R581" s="9">
        <f>R580/31</f>
        <v>3.193548387096774</v>
      </c>
      <c r="S581" s="9">
        <f>S580/28</f>
        <v>2.4285714285714284</v>
      </c>
      <c r="T581" s="9">
        <f>T580/31</f>
        <v>1.2258064516129032</v>
      </c>
    </row>
    <row r="582" spans="1:24" x14ac:dyDescent="0.2">
      <c r="A582" s="3"/>
      <c r="B582" s="3"/>
      <c r="C582" t="s">
        <v>116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</row>
    <row r="583" spans="1:24" x14ac:dyDescent="0.2">
      <c r="A583" s="3"/>
      <c r="B583" s="3"/>
      <c r="C583" t="s">
        <v>5</v>
      </c>
      <c r="F583" s="5" t="s">
        <v>73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4" x14ac:dyDescent="0.2">
      <c r="A584" s="3"/>
      <c r="B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4" x14ac:dyDescent="0.2">
      <c r="A585" s="3"/>
      <c r="B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4" x14ac:dyDescent="0.2">
      <c r="A586" s="3" t="s">
        <v>74</v>
      </c>
      <c r="B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4" x14ac:dyDescent="0.2">
      <c r="A587" s="3"/>
      <c r="B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4" x14ac:dyDescent="0.2">
      <c r="A588" s="3"/>
      <c r="B588" s="3" t="s">
        <v>75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4" x14ac:dyDescent="0.2">
      <c r="A589" s="3"/>
      <c r="B589" s="3"/>
      <c r="D589" t="s">
        <v>126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4" x14ac:dyDescent="0.2">
      <c r="A590" s="3"/>
      <c r="B590" s="3"/>
      <c r="D590" t="s">
        <v>127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4" x14ac:dyDescent="0.2">
      <c r="A591" s="3"/>
      <c r="B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idden="1" x14ac:dyDescent="0.2">
      <c r="A592" s="3"/>
      <c r="B592" s="3"/>
      <c r="C592" t="s">
        <v>115</v>
      </c>
      <c r="F592" s="6">
        <f>102+36400</f>
        <v>36502</v>
      </c>
      <c r="G592" s="6">
        <f>102+34400</f>
        <v>34502</v>
      </c>
      <c r="H592" s="6">
        <f>102+34400</f>
        <v>34502</v>
      </c>
      <c r="I592" s="6">
        <f>102+23000</f>
        <v>23102</v>
      </c>
      <c r="J592" s="6">
        <f>102+21000</f>
        <v>21102</v>
      </c>
      <c r="K592" s="6">
        <v>102</v>
      </c>
      <c r="L592" s="6">
        <v>102</v>
      </c>
      <c r="M592" s="6">
        <v>102</v>
      </c>
      <c r="N592" s="6">
        <v>102</v>
      </c>
      <c r="O592" s="6">
        <v>102</v>
      </c>
      <c r="P592" s="6">
        <v>102</v>
      </c>
      <c r="Q592" s="6">
        <v>102</v>
      </c>
      <c r="R592" s="6">
        <v>102</v>
      </c>
      <c r="S592" s="6">
        <v>102</v>
      </c>
      <c r="T592" s="6">
        <v>102</v>
      </c>
      <c r="U592" s="6"/>
      <c r="V592" s="6"/>
      <c r="W592" s="6"/>
      <c r="X592" s="6"/>
    </row>
    <row r="593" spans="1:24" s="7" customFormat="1" x14ac:dyDescent="0.2">
      <c r="C593" t="s">
        <v>146</v>
      </c>
      <c r="F593" s="10">
        <f>F592/31</f>
        <v>1177.483870967742</v>
      </c>
      <c r="G593" s="10">
        <f>G592/29</f>
        <v>1189.7241379310344</v>
      </c>
      <c r="H593" s="10">
        <f>H592/31</f>
        <v>1112.9677419354839</v>
      </c>
      <c r="I593" s="10">
        <f>I592/30</f>
        <v>770.06666666666672</v>
      </c>
      <c r="J593" s="10">
        <f>J592/31</f>
        <v>680.70967741935488</v>
      </c>
      <c r="K593" s="10">
        <f>K592/30</f>
        <v>3.4</v>
      </c>
      <c r="L593" s="10">
        <f>L592/31</f>
        <v>3.2903225806451615</v>
      </c>
      <c r="M593" s="10">
        <f>M592/31</f>
        <v>3.2903225806451615</v>
      </c>
      <c r="N593" s="10">
        <f>N592/30</f>
        <v>3.4</v>
      </c>
      <c r="O593" s="10">
        <f>O592/31</f>
        <v>3.2903225806451615</v>
      </c>
      <c r="P593" s="10">
        <f>P592/30</f>
        <v>3.4</v>
      </c>
      <c r="Q593" s="10">
        <f>Q592/31</f>
        <v>3.2903225806451615</v>
      </c>
      <c r="R593" s="10">
        <f>R592/31</f>
        <v>3.2903225806451615</v>
      </c>
      <c r="S593" s="10">
        <f>S592/28</f>
        <v>3.6428571428571428</v>
      </c>
      <c r="T593" s="10">
        <f>T592/31</f>
        <v>3.2903225806451615</v>
      </c>
      <c r="U593" s="6"/>
      <c r="V593" s="6"/>
      <c r="W593" s="6"/>
      <c r="X593" s="6"/>
    </row>
    <row r="594" spans="1:24" x14ac:dyDescent="0.2">
      <c r="A594" s="3"/>
      <c r="B594" s="3"/>
      <c r="C594" t="s">
        <v>116</v>
      </c>
      <c r="F594" s="6">
        <v>102</v>
      </c>
      <c r="G594" s="6">
        <v>102</v>
      </c>
      <c r="H594" s="6">
        <v>102</v>
      </c>
      <c r="I594" s="6">
        <v>102</v>
      </c>
      <c r="J594" s="6">
        <v>102</v>
      </c>
      <c r="K594" s="6">
        <v>102</v>
      </c>
      <c r="L594" s="6">
        <v>102</v>
      </c>
      <c r="M594" s="6">
        <v>102</v>
      </c>
      <c r="N594" s="6">
        <v>102</v>
      </c>
      <c r="O594" s="6">
        <v>102</v>
      </c>
      <c r="P594" s="6">
        <v>102</v>
      </c>
      <c r="Q594" s="6">
        <v>102</v>
      </c>
      <c r="R594" s="6">
        <v>102</v>
      </c>
      <c r="S594" s="6">
        <v>102</v>
      </c>
      <c r="T594" s="6">
        <v>102</v>
      </c>
      <c r="U594" s="6"/>
      <c r="V594" s="6"/>
      <c r="W594" s="6"/>
      <c r="X594" s="6"/>
    </row>
    <row r="595" spans="1:24" x14ac:dyDescent="0.2">
      <c r="A595" s="3"/>
      <c r="B595" s="3"/>
      <c r="C595" t="s">
        <v>5</v>
      </c>
      <c r="F595" s="5" t="s">
        <v>76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4" x14ac:dyDescent="0.2">
      <c r="A596" s="3"/>
      <c r="B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4" x14ac:dyDescent="0.2">
      <c r="A597" s="3" t="s">
        <v>77</v>
      </c>
      <c r="B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4" x14ac:dyDescent="0.2">
      <c r="A598" s="3"/>
      <c r="B598" s="3" t="s">
        <v>78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4" x14ac:dyDescent="0.2">
      <c r="A599" s="3"/>
      <c r="B599" s="3"/>
      <c r="D599" t="s">
        <v>142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4" x14ac:dyDescent="0.2">
      <c r="A600" s="3"/>
      <c r="B600" s="3"/>
      <c r="D600" t="s">
        <v>143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4" x14ac:dyDescent="0.2">
      <c r="A601" s="3"/>
      <c r="B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idden="1" x14ac:dyDescent="0.2">
      <c r="A602" s="3"/>
      <c r="B602" s="3"/>
      <c r="C602" t="s">
        <v>115</v>
      </c>
      <c r="F602" s="10">
        <f>868976+295129</f>
        <v>1164105</v>
      </c>
      <c r="G602" s="10">
        <f>683580+315505</f>
        <v>999085</v>
      </c>
      <c r="H602" s="10">
        <f>422148+255108</f>
        <v>677256</v>
      </c>
      <c r="I602" s="10">
        <f>193676+358596</f>
        <v>552272</v>
      </c>
      <c r="J602" s="10">
        <f>91498+369826</f>
        <v>461324</v>
      </c>
      <c r="K602" s="10">
        <f>68345+245852</f>
        <v>314197</v>
      </c>
      <c r="L602" s="10">
        <f>64349+294239</f>
        <v>358588</v>
      </c>
      <c r="M602" s="10">
        <f>61857+300931</f>
        <v>362788</v>
      </c>
      <c r="N602" s="10">
        <f>53919+319316</f>
        <v>373235</v>
      </c>
      <c r="O602" s="10">
        <f>73483+299110</f>
        <v>372593</v>
      </c>
      <c r="P602" s="10">
        <f>131968+434789</f>
        <v>566757</v>
      </c>
      <c r="Q602" s="10">
        <f>207117+244206</f>
        <v>451323</v>
      </c>
      <c r="R602" s="10">
        <v>225262</v>
      </c>
      <c r="S602" s="10">
        <v>166697</v>
      </c>
      <c r="T602" s="10">
        <v>116507</v>
      </c>
      <c r="U602" s="6"/>
      <c r="V602" s="6"/>
      <c r="W602" s="6"/>
      <c r="X602" s="6"/>
    </row>
    <row r="603" spans="1:24" s="7" customFormat="1" x14ac:dyDescent="0.2">
      <c r="C603" t="s">
        <v>163</v>
      </c>
      <c r="F603" s="10">
        <v>33409</v>
      </c>
      <c r="G603" s="10">
        <v>31464</v>
      </c>
      <c r="H603" s="10">
        <v>17118</v>
      </c>
      <c r="I603" s="10">
        <v>3495</v>
      </c>
      <c r="J603" s="10">
        <v>1591</v>
      </c>
      <c r="K603" s="10">
        <v>1175</v>
      </c>
      <c r="L603" s="10">
        <v>1067</v>
      </c>
      <c r="M603" s="10">
        <v>1044</v>
      </c>
      <c r="N603" s="10">
        <v>912</v>
      </c>
      <c r="O603" s="10">
        <v>1331</v>
      </c>
      <c r="P603" s="10">
        <v>6485</v>
      </c>
      <c r="Q603" s="10">
        <v>9148</v>
      </c>
      <c r="R603" s="10">
        <v>9205</v>
      </c>
      <c r="S603" s="10">
        <v>8243</v>
      </c>
      <c r="T603" s="10">
        <v>5267</v>
      </c>
      <c r="U603" s="6"/>
      <c r="V603" s="6"/>
      <c r="W603" s="6"/>
      <c r="X603" s="6"/>
    </row>
    <row r="604" spans="1:24" x14ac:dyDescent="0.2">
      <c r="A604" s="3"/>
      <c r="B604" s="3"/>
      <c r="C604" t="s">
        <v>116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/>
      <c r="V604" s="6"/>
      <c r="W604" s="6"/>
      <c r="X604" s="6"/>
    </row>
    <row r="605" spans="1:24" x14ac:dyDescent="0.2">
      <c r="A605" s="3"/>
      <c r="B605" s="3"/>
      <c r="C605" t="s">
        <v>5</v>
      </c>
      <c r="F605" s="5" t="s">
        <v>79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4" x14ac:dyDescent="0.2">
      <c r="A606" s="3"/>
      <c r="B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4" x14ac:dyDescent="0.2">
      <c r="A607" s="3" t="s">
        <v>128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4" x14ac:dyDescent="0.2">
      <c r="A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69" x14ac:dyDescent="0.2">
      <c r="A609" s="3"/>
      <c r="D609" t="s">
        <v>133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69" x14ac:dyDescent="0.2">
      <c r="A610" s="3"/>
      <c r="D610" t="s">
        <v>132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69" x14ac:dyDescent="0.2">
      <c r="A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69" hidden="1" x14ac:dyDescent="0.2">
      <c r="A612" s="3"/>
      <c r="C612" t="s">
        <v>115</v>
      </c>
      <c r="F612" s="10">
        <v>406573</v>
      </c>
      <c r="G612" s="10">
        <v>359126</v>
      </c>
      <c r="H612" s="10">
        <v>305826</v>
      </c>
      <c r="I612" s="10">
        <v>162419</v>
      </c>
      <c r="J612" s="10">
        <v>97390</v>
      </c>
      <c r="K612" s="10">
        <v>54734</v>
      </c>
      <c r="L612" s="10">
        <v>43817</v>
      </c>
      <c r="M612" s="10">
        <v>46682</v>
      </c>
      <c r="N612" s="10">
        <v>73242</v>
      </c>
      <c r="O612" s="10">
        <v>139437</v>
      </c>
      <c r="P612" s="10">
        <v>202820</v>
      </c>
      <c r="Q612" s="10">
        <v>281221</v>
      </c>
      <c r="R612" s="10">
        <v>313615</v>
      </c>
      <c r="S612" s="10">
        <v>276994</v>
      </c>
      <c r="T612" s="10">
        <v>235879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69" s="7" customFormat="1" x14ac:dyDescent="0.2">
      <c r="C613" t="s">
        <v>147</v>
      </c>
      <c r="F613" s="10">
        <v>12824</v>
      </c>
      <c r="G613" s="10">
        <v>12472</v>
      </c>
      <c r="H613" s="10">
        <v>9646</v>
      </c>
      <c r="I613" s="10">
        <v>5090</v>
      </c>
      <c r="J613" s="10">
        <v>3051</v>
      </c>
      <c r="K613" s="10">
        <v>1713</v>
      </c>
      <c r="L613" s="10">
        <v>1371</v>
      </c>
      <c r="M613" s="10">
        <v>1461</v>
      </c>
      <c r="N613" s="10">
        <v>2294</v>
      </c>
      <c r="O613" s="10">
        <v>4369</v>
      </c>
      <c r="P613" s="10">
        <v>6356</v>
      </c>
      <c r="Q613" s="10">
        <v>8814</v>
      </c>
      <c r="R613" s="10">
        <v>9830</v>
      </c>
      <c r="S613" s="10">
        <v>8682</v>
      </c>
      <c r="T613" s="10">
        <v>7393</v>
      </c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69" x14ac:dyDescent="0.2">
      <c r="A614" s="3"/>
      <c r="C614" t="s">
        <v>116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69" x14ac:dyDescent="0.2">
      <c r="A615" s="3"/>
      <c r="C615" t="s">
        <v>5</v>
      </c>
      <c r="F615" s="5" t="s">
        <v>128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69" x14ac:dyDescent="0.2">
      <c r="A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69" x14ac:dyDescent="0.2">
      <c r="A617" s="3" t="s">
        <v>159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69" x14ac:dyDescent="0.2">
      <c r="A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69" x14ac:dyDescent="0.2">
      <c r="A619" s="3"/>
      <c r="D619" t="s">
        <v>130</v>
      </c>
      <c r="F619" s="5">
        <v>0.01</v>
      </c>
      <c r="G619" s="5">
        <v>0.01</v>
      </c>
      <c r="H619" s="5">
        <v>0.01</v>
      </c>
      <c r="I619" s="5">
        <v>0.01</v>
      </c>
      <c r="J619" s="5">
        <v>0.01</v>
      </c>
      <c r="K619" s="5">
        <v>0.01</v>
      </c>
      <c r="L619" s="5">
        <v>0.01</v>
      </c>
      <c r="M619" s="5">
        <v>0.01</v>
      </c>
      <c r="N619" s="5">
        <v>0.01</v>
      </c>
      <c r="O619" s="5">
        <v>0.01</v>
      </c>
      <c r="P619" s="5">
        <v>0.01</v>
      </c>
      <c r="Q619" s="5">
        <v>0.01</v>
      </c>
      <c r="R619" s="5">
        <v>0.01</v>
      </c>
      <c r="S619" s="5">
        <v>0.01</v>
      </c>
      <c r="T619" s="5">
        <v>0.01</v>
      </c>
    </row>
    <row r="620" spans="1:69" x14ac:dyDescent="0.2">
      <c r="A620" s="3"/>
      <c r="D620" t="s">
        <v>131</v>
      </c>
      <c r="F620" s="5">
        <v>0.01</v>
      </c>
      <c r="G620" s="5">
        <v>0.01</v>
      </c>
      <c r="H620" s="5">
        <v>0.01</v>
      </c>
      <c r="I620" s="5">
        <v>0.01</v>
      </c>
      <c r="J620" s="5">
        <v>0.01</v>
      </c>
      <c r="K620" s="5">
        <v>0.01</v>
      </c>
      <c r="L620" s="5">
        <v>0.01</v>
      </c>
      <c r="M620" s="5">
        <v>0.01</v>
      </c>
      <c r="N620" s="5">
        <v>0.01</v>
      </c>
      <c r="O620" s="5">
        <v>0.01</v>
      </c>
      <c r="P620" s="5">
        <v>0.01</v>
      </c>
      <c r="Q620" s="5">
        <v>0.01</v>
      </c>
      <c r="R620" s="5">
        <v>0.01</v>
      </c>
      <c r="S620" s="5">
        <v>0.01</v>
      </c>
      <c r="T620" s="5">
        <v>0.01</v>
      </c>
    </row>
    <row r="621" spans="1:69" x14ac:dyDescent="0.2">
      <c r="A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spans="1:69" hidden="1" x14ac:dyDescent="0.2">
      <c r="A622" s="3"/>
      <c r="C622" t="s">
        <v>146</v>
      </c>
      <c r="F622" s="6">
        <v>131</v>
      </c>
      <c r="G622" s="6">
        <v>129</v>
      </c>
      <c r="H622" s="6">
        <v>98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spans="1:69" s="7" customFormat="1" x14ac:dyDescent="0.2">
      <c r="C623" t="s">
        <v>146</v>
      </c>
      <c r="F623" s="10">
        <f>F622/31</f>
        <v>4.225806451612903</v>
      </c>
      <c r="G623" s="10">
        <f>G622/29</f>
        <v>4.4482758620689653</v>
      </c>
      <c r="H623" s="10">
        <f>H622/31</f>
        <v>3.161290322580645</v>
      </c>
      <c r="I623" s="10">
        <f>I622/30</f>
        <v>0</v>
      </c>
      <c r="J623" s="10">
        <f>J622/31</f>
        <v>0</v>
      </c>
      <c r="K623" s="10">
        <f>K622/30</f>
        <v>0</v>
      </c>
      <c r="L623" s="10">
        <f>L622/31</f>
        <v>0</v>
      </c>
      <c r="M623" s="10">
        <f>M622/31</f>
        <v>0</v>
      </c>
      <c r="N623" s="10">
        <f>N622/30</f>
        <v>0</v>
      </c>
      <c r="O623" s="10">
        <f>O622/31</f>
        <v>0</v>
      </c>
      <c r="P623" s="10">
        <f>P622/30</f>
        <v>0</v>
      </c>
      <c r="Q623" s="10">
        <f>Q622/31</f>
        <v>0</v>
      </c>
      <c r="R623" s="10">
        <f>R622/31</f>
        <v>0</v>
      </c>
      <c r="S623" s="10">
        <f>S622/28</f>
        <v>0</v>
      </c>
      <c r="T623" s="10">
        <f>T622/31</f>
        <v>0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spans="1:69" x14ac:dyDescent="0.2">
      <c r="A624" s="3"/>
      <c r="C624" t="s">
        <v>116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spans="1:69" hidden="1" x14ac:dyDescent="0.2">
      <c r="A625" s="3"/>
      <c r="C625" t="s">
        <v>147</v>
      </c>
      <c r="F625" s="10">
        <v>33136</v>
      </c>
      <c r="G625" s="10">
        <v>26999</v>
      </c>
      <c r="H625" s="10">
        <v>22807</v>
      </c>
      <c r="I625" s="10">
        <v>13872</v>
      </c>
      <c r="J625" s="10">
        <v>11531</v>
      </c>
      <c r="K625" s="10">
        <v>383</v>
      </c>
      <c r="L625" s="10">
        <v>317</v>
      </c>
      <c r="M625" s="10">
        <v>316</v>
      </c>
      <c r="N625" s="10">
        <v>378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spans="1:69" s="7" customFormat="1" x14ac:dyDescent="0.2">
      <c r="C626" t="s">
        <v>147</v>
      </c>
      <c r="F626" s="10">
        <f>F625/31</f>
        <v>1068.9032258064517</v>
      </c>
      <c r="G626" s="10">
        <v>959</v>
      </c>
      <c r="H626" s="10">
        <f>H625/31</f>
        <v>735.70967741935488</v>
      </c>
      <c r="I626" s="10">
        <f>I625/30</f>
        <v>462.4</v>
      </c>
      <c r="J626" s="10">
        <f>J625/31</f>
        <v>371.96774193548384</v>
      </c>
      <c r="K626" s="10">
        <f>K625/30</f>
        <v>12.766666666666667</v>
      </c>
      <c r="L626" s="10">
        <f>L625/31</f>
        <v>10.225806451612904</v>
      </c>
      <c r="M626" s="10">
        <f>M625/31</f>
        <v>10.193548387096774</v>
      </c>
      <c r="N626" s="10">
        <f>N625/30</f>
        <v>12.6</v>
      </c>
      <c r="O626" s="10">
        <f>O625/31</f>
        <v>0</v>
      </c>
      <c r="P626" s="10">
        <f>P625/30</f>
        <v>0</v>
      </c>
      <c r="Q626" s="10">
        <f>Q625/31</f>
        <v>0</v>
      </c>
      <c r="R626" s="10">
        <f>R625/31</f>
        <v>0</v>
      </c>
      <c r="S626" s="10">
        <f>S625/28</f>
        <v>0</v>
      </c>
      <c r="T626" s="10">
        <f>T625/31</f>
        <v>0</v>
      </c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spans="1:69" x14ac:dyDescent="0.2">
      <c r="A627" s="3"/>
      <c r="C627" t="s">
        <v>116</v>
      </c>
      <c r="F627" s="6">
        <v>2794</v>
      </c>
      <c r="G627" s="6">
        <v>2794</v>
      </c>
      <c r="H627" s="6">
        <v>2794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spans="1:69" x14ac:dyDescent="0.2">
      <c r="A628" s="3"/>
      <c r="C628" t="s">
        <v>5</v>
      </c>
      <c r="F628" s="5" t="s">
        <v>129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69" x14ac:dyDescent="0.2">
      <c r="A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69" x14ac:dyDescent="0.2">
      <c r="A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69" x14ac:dyDescent="0.2">
      <c r="A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69" x14ac:dyDescent="0.2">
      <c r="A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69" x14ac:dyDescent="0.2">
      <c r="A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69" x14ac:dyDescent="0.2">
      <c r="A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69" x14ac:dyDescent="0.2">
      <c r="A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69" x14ac:dyDescent="0.2">
      <c r="A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69" x14ac:dyDescent="0.2">
      <c r="A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69" x14ac:dyDescent="0.2">
      <c r="A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69" x14ac:dyDescent="0.2">
      <c r="A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69" x14ac:dyDescent="0.2">
      <c r="A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x14ac:dyDescent="0.2">
      <c r="A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x14ac:dyDescent="0.2">
      <c r="A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x14ac:dyDescent="0.2">
      <c r="A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x14ac:dyDescent="0.2">
      <c r="A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x14ac:dyDescent="0.2">
      <c r="A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x14ac:dyDescent="0.2">
      <c r="A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x14ac:dyDescent="0.2">
      <c r="A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x14ac:dyDescent="0.2">
      <c r="A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x14ac:dyDescent="0.2">
      <c r="A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x14ac:dyDescent="0.2">
      <c r="A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x14ac:dyDescent="0.2">
      <c r="A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x14ac:dyDescent="0.2">
      <c r="A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x14ac:dyDescent="0.2">
      <c r="A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x14ac:dyDescent="0.2">
      <c r="A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x14ac:dyDescent="0.2">
      <c r="A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x14ac:dyDescent="0.2">
      <c r="A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x14ac:dyDescent="0.2">
      <c r="A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x14ac:dyDescent="0.2">
      <c r="A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x14ac:dyDescent="0.2">
      <c r="A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x14ac:dyDescent="0.2">
      <c r="A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x14ac:dyDescent="0.2">
      <c r="A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x14ac:dyDescent="0.2">
      <c r="A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x14ac:dyDescent="0.2">
      <c r="A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x14ac:dyDescent="0.2">
      <c r="A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x14ac:dyDescent="0.2">
      <c r="A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x14ac:dyDescent="0.2">
      <c r="A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x14ac:dyDescent="0.2">
      <c r="A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x14ac:dyDescent="0.2">
      <c r="A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x14ac:dyDescent="0.2">
      <c r="A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x14ac:dyDescent="0.2">
      <c r="A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x14ac:dyDescent="0.2">
      <c r="A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x14ac:dyDescent="0.2">
      <c r="A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x14ac:dyDescent="0.2">
      <c r="A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x14ac:dyDescent="0.2">
      <c r="A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x14ac:dyDescent="0.2">
      <c r="A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x14ac:dyDescent="0.2">
      <c r="A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x14ac:dyDescent="0.2">
      <c r="A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x14ac:dyDescent="0.2">
      <c r="A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x14ac:dyDescent="0.2">
      <c r="A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x14ac:dyDescent="0.2">
      <c r="A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x14ac:dyDescent="0.2">
      <c r="A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x14ac:dyDescent="0.2">
      <c r="A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x14ac:dyDescent="0.2">
      <c r="A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x14ac:dyDescent="0.2">
      <c r="A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x14ac:dyDescent="0.2">
      <c r="A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x14ac:dyDescent="0.2">
      <c r="A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x14ac:dyDescent="0.2">
      <c r="A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x14ac:dyDescent="0.2">
      <c r="A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x14ac:dyDescent="0.2">
      <c r="A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x14ac:dyDescent="0.2">
      <c r="A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x14ac:dyDescent="0.2">
      <c r="A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x14ac:dyDescent="0.2">
      <c r="A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x14ac:dyDescent="0.2">
      <c r="A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x14ac:dyDescent="0.2">
      <c r="A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x14ac:dyDescent="0.2">
      <c r="A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x14ac:dyDescent="0.2">
      <c r="A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x14ac:dyDescent="0.2">
      <c r="A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x14ac:dyDescent="0.2">
      <c r="A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x14ac:dyDescent="0.2">
      <c r="A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x14ac:dyDescent="0.2">
      <c r="A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x14ac:dyDescent="0.2">
      <c r="A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x14ac:dyDescent="0.2">
      <c r="A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x14ac:dyDescent="0.2">
      <c r="A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x14ac:dyDescent="0.2">
      <c r="A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x14ac:dyDescent="0.2">
      <c r="A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x14ac:dyDescent="0.2">
      <c r="A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x14ac:dyDescent="0.2">
      <c r="A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x14ac:dyDescent="0.2">
      <c r="A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x14ac:dyDescent="0.2">
      <c r="A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x14ac:dyDescent="0.2">
      <c r="A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">
      <c r="A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">
      <c r="A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">
      <c r="A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">
      <c r="A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">
      <c r="A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">
      <c r="A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">
      <c r="A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">
      <c r="A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">
      <c r="A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x14ac:dyDescent="0.2">
      <c r="A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x14ac:dyDescent="0.2">
      <c r="A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x14ac:dyDescent="0.2">
      <c r="A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x14ac:dyDescent="0.2">
      <c r="A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x14ac:dyDescent="0.2">
      <c r="A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x14ac:dyDescent="0.2">
      <c r="A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x14ac:dyDescent="0.2">
      <c r="A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x14ac:dyDescent="0.2">
      <c r="A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x14ac:dyDescent="0.2">
      <c r="A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x14ac:dyDescent="0.2">
      <c r="A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x14ac:dyDescent="0.2">
      <c r="A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x14ac:dyDescent="0.2">
      <c r="A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x14ac:dyDescent="0.2">
      <c r="A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x14ac:dyDescent="0.2">
      <c r="A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x14ac:dyDescent="0.2">
      <c r="A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x14ac:dyDescent="0.2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x14ac:dyDescent="0.2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6:20" x14ac:dyDescent="0.2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6:20" x14ac:dyDescent="0.2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6:20" x14ac:dyDescent="0.2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6:20" x14ac:dyDescent="0.2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6:20" x14ac:dyDescent="0.2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6:20" x14ac:dyDescent="0.2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6:20" x14ac:dyDescent="0.2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6:20" x14ac:dyDescent="0.2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6:20" x14ac:dyDescent="0.2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6:20" x14ac:dyDescent="0.2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6:20" x14ac:dyDescent="0.2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6:20" x14ac:dyDescent="0.2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6:20" x14ac:dyDescent="0.2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6:20" x14ac:dyDescent="0.2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6:20" x14ac:dyDescent="0.2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6:20" x14ac:dyDescent="0.2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6:20" x14ac:dyDescent="0.2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6:20" x14ac:dyDescent="0.2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6:20" x14ac:dyDescent="0.2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1999-12-22T17:43:03Z</cp:lastPrinted>
  <dcterms:created xsi:type="dcterms:W3CDTF">1999-12-06T20:04:21Z</dcterms:created>
  <dcterms:modified xsi:type="dcterms:W3CDTF">2014-09-03T12:16:01Z</dcterms:modified>
</cp:coreProperties>
</file>