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0" windowWidth="14940" windowHeight="628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Sheet1!$15:$17</definedName>
  </definedNames>
  <calcPr calcId="152511" fullCalcOnLoad="1"/>
</workbook>
</file>

<file path=xl/calcChain.xml><?xml version="1.0" encoding="utf-8"?>
<calcChain xmlns="http://schemas.openxmlformats.org/spreadsheetml/2006/main">
  <c r="G35" i="1" l="1"/>
  <c r="P35" i="1"/>
  <c r="Q35" i="1"/>
  <c r="R35" i="1"/>
  <c r="S35" i="1"/>
  <c r="T35" i="1"/>
  <c r="U35" i="1"/>
  <c r="L52" i="1"/>
  <c r="M52" i="1"/>
  <c r="N52" i="1"/>
  <c r="O52" i="1"/>
  <c r="P52" i="1"/>
  <c r="Q52" i="1"/>
  <c r="R52" i="1"/>
  <c r="S52" i="1"/>
  <c r="T52" i="1"/>
  <c r="U52" i="1"/>
  <c r="J55" i="1"/>
  <c r="K55" i="1"/>
  <c r="L55" i="1"/>
  <c r="M55" i="1"/>
  <c r="N55" i="1"/>
  <c r="O55" i="1"/>
  <c r="P55" i="1"/>
  <c r="Q55" i="1"/>
  <c r="R55" i="1"/>
  <c r="S55" i="1"/>
  <c r="T55" i="1"/>
  <c r="U55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R129" i="1" s="1"/>
  <c r="S128" i="1"/>
  <c r="T128" i="1"/>
  <c r="U128" i="1"/>
  <c r="S129" i="1"/>
  <c r="T129" i="1"/>
  <c r="U129" i="1"/>
  <c r="G131" i="1"/>
  <c r="G132" i="1" s="1"/>
  <c r="H131" i="1"/>
  <c r="I131" i="1"/>
  <c r="J131" i="1"/>
  <c r="J132" i="1" s="1"/>
  <c r="K131" i="1"/>
  <c r="K132" i="1" s="1"/>
  <c r="L131" i="1"/>
  <c r="L132" i="1" s="1"/>
  <c r="M131" i="1"/>
  <c r="M132" i="1" s="1"/>
  <c r="N131" i="1"/>
  <c r="N132" i="1" s="1"/>
  <c r="O131" i="1"/>
  <c r="O132" i="1" s="1"/>
  <c r="P131" i="1"/>
  <c r="Q131" i="1"/>
  <c r="R131" i="1"/>
  <c r="S131" i="1"/>
  <c r="T131" i="1"/>
  <c r="T132" i="1" s="1"/>
  <c r="U131" i="1"/>
  <c r="U132" i="1" s="1"/>
  <c r="I132" i="1"/>
  <c r="P132" i="1"/>
  <c r="Q132" i="1"/>
  <c r="S132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S219" i="1" s="1"/>
  <c r="T218" i="1"/>
  <c r="T219" i="1" s="1"/>
  <c r="U218" i="1"/>
  <c r="U219" i="1" s="1"/>
  <c r="Q219" i="1"/>
  <c r="R219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8" i="1"/>
  <c r="H228" i="1"/>
  <c r="I228" i="1"/>
  <c r="J228" i="1"/>
  <c r="K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R249" i="1" s="1"/>
  <c r="S248" i="1"/>
  <c r="S249" i="1" s="1"/>
  <c r="T248" i="1"/>
  <c r="T249" i="1" s="1"/>
  <c r="U248" i="1"/>
  <c r="U249" i="1" s="1"/>
  <c r="Q249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8" i="1"/>
  <c r="H268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8" i="1"/>
  <c r="H278" i="1"/>
  <c r="I278" i="1"/>
  <c r="L279" i="1"/>
  <c r="M279" i="1"/>
  <c r="N279" i="1"/>
  <c r="O279" i="1"/>
  <c r="P279" i="1"/>
  <c r="Q279" i="1"/>
  <c r="R279" i="1"/>
  <c r="S279" i="1"/>
  <c r="T279" i="1"/>
  <c r="U279" i="1"/>
  <c r="G281" i="1"/>
  <c r="H281" i="1"/>
  <c r="I281" i="1"/>
  <c r="I282" i="1" s="1"/>
  <c r="J281" i="1"/>
  <c r="J282" i="1" s="1"/>
  <c r="K281" i="1"/>
  <c r="K282" i="1" s="1"/>
  <c r="L281" i="1"/>
  <c r="L282" i="1" s="1"/>
  <c r="M281" i="1"/>
  <c r="M282" i="1" s="1"/>
  <c r="N281" i="1"/>
  <c r="N282" i="1" s="1"/>
  <c r="O281" i="1"/>
  <c r="P281" i="1"/>
  <c r="Q281" i="1"/>
  <c r="Q282" i="1" s="1"/>
  <c r="R281" i="1"/>
  <c r="R282" i="1" s="1"/>
  <c r="S281" i="1"/>
  <c r="S282" i="1" s="1"/>
  <c r="T281" i="1"/>
  <c r="T282" i="1" s="1"/>
  <c r="U281" i="1"/>
  <c r="U282" i="1" s="1"/>
  <c r="G282" i="1"/>
  <c r="O282" i="1"/>
  <c r="P282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8" i="1"/>
  <c r="K298" i="1"/>
  <c r="L298" i="1"/>
  <c r="M298" i="1"/>
  <c r="N298" i="1"/>
  <c r="O298" i="1"/>
  <c r="P298" i="1"/>
  <c r="Q298" i="1"/>
  <c r="R298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R307" i="1"/>
  <c r="S307" i="1"/>
  <c r="T307" i="1"/>
  <c r="U307" i="1"/>
  <c r="G309" i="1"/>
  <c r="H309" i="1"/>
  <c r="I309" i="1"/>
  <c r="J309" i="1"/>
  <c r="K309" i="1"/>
  <c r="L309" i="1"/>
  <c r="M309" i="1"/>
  <c r="M310" i="1" s="1"/>
  <c r="N309" i="1"/>
  <c r="N310" i="1" s="1"/>
  <c r="O309" i="1"/>
  <c r="O310" i="1" s="1"/>
  <c r="P309" i="1"/>
  <c r="P310" i="1" s="1"/>
  <c r="Q309" i="1"/>
  <c r="R309" i="1"/>
  <c r="S309" i="1"/>
  <c r="T309" i="1"/>
  <c r="U309" i="1"/>
  <c r="U310" i="1" s="1"/>
  <c r="J310" i="1"/>
  <c r="K310" i="1"/>
  <c r="L310" i="1"/>
  <c r="Q310" i="1"/>
  <c r="R310" i="1"/>
  <c r="S310" i="1"/>
  <c r="T310" i="1"/>
  <c r="G316" i="1"/>
  <c r="H316" i="1"/>
  <c r="I316" i="1"/>
  <c r="J316" i="1"/>
  <c r="K316" i="1"/>
  <c r="L316" i="1"/>
  <c r="M316" i="1"/>
  <c r="N316" i="1"/>
  <c r="R317" i="1"/>
  <c r="S317" i="1"/>
  <c r="T317" i="1"/>
  <c r="U317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8" i="1"/>
  <c r="G329" i="1" s="1"/>
  <c r="H328" i="1"/>
  <c r="I328" i="1"/>
  <c r="I329" i="1" s="1"/>
  <c r="J328" i="1"/>
  <c r="J329" i="1" s="1"/>
  <c r="K328" i="1"/>
  <c r="L328" i="1"/>
  <c r="M328" i="1"/>
  <c r="M329" i="1" s="1"/>
  <c r="N328" i="1"/>
  <c r="N329" i="1" s="1"/>
  <c r="O328" i="1"/>
  <c r="O329" i="1" s="1"/>
  <c r="P328" i="1"/>
  <c r="P329" i="1" s="1"/>
  <c r="Q328" i="1"/>
  <c r="Q329" i="1" s="1"/>
  <c r="R328" i="1"/>
  <c r="R329" i="1" s="1"/>
  <c r="S328" i="1"/>
  <c r="T328" i="1"/>
  <c r="U328" i="1"/>
  <c r="U329" i="1" s="1"/>
  <c r="K329" i="1"/>
  <c r="L329" i="1"/>
  <c r="S329" i="1"/>
  <c r="T329" i="1"/>
  <c r="G336" i="1"/>
  <c r="R336" i="1"/>
  <c r="S336" i="1"/>
  <c r="T336" i="1"/>
  <c r="U336" i="1"/>
  <c r="G338" i="1"/>
  <c r="H338" i="1"/>
  <c r="I338" i="1"/>
  <c r="J338" i="1"/>
  <c r="K338" i="1"/>
  <c r="L338" i="1"/>
  <c r="M338" i="1"/>
  <c r="M339" i="1" s="1"/>
  <c r="N338" i="1"/>
  <c r="N339" i="1" s="1"/>
  <c r="O338" i="1"/>
  <c r="O339" i="1" s="1"/>
  <c r="P338" i="1"/>
  <c r="P339" i="1" s="1"/>
  <c r="Q338" i="1"/>
  <c r="R338" i="1"/>
  <c r="S338" i="1"/>
  <c r="T338" i="1"/>
  <c r="U338" i="1"/>
  <c r="U339" i="1" s="1"/>
  <c r="J339" i="1"/>
  <c r="K339" i="1"/>
  <c r="L339" i="1"/>
  <c r="Q339" i="1"/>
  <c r="R339" i="1"/>
  <c r="S339" i="1"/>
  <c r="T339" i="1"/>
  <c r="G366" i="1"/>
  <c r="H366" i="1"/>
  <c r="I366" i="1"/>
  <c r="I367" i="1" s="1"/>
  <c r="J366" i="1"/>
  <c r="J367" i="1" s="1"/>
  <c r="K366" i="1"/>
  <c r="K367" i="1" s="1"/>
  <c r="L366" i="1"/>
  <c r="L367" i="1" s="1"/>
  <c r="M366" i="1"/>
  <c r="M367" i="1" s="1"/>
  <c r="N366" i="1"/>
  <c r="O366" i="1"/>
  <c r="P366" i="1"/>
  <c r="P367" i="1" s="1"/>
  <c r="Q366" i="1"/>
  <c r="Q367" i="1" s="1"/>
  <c r="R366" i="1"/>
  <c r="R367" i="1" s="1"/>
  <c r="S366" i="1"/>
  <c r="S367" i="1" s="1"/>
  <c r="T366" i="1"/>
  <c r="T367" i="1" s="1"/>
  <c r="U366" i="1"/>
  <c r="U367" i="1" s="1"/>
  <c r="G367" i="1"/>
  <c r="N367" i="1"/>
  <c r="O367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G389" i="1"/>
  <c r="H389" i="1"/>
  <c r="I389" i="1"/>
  <c r="J389" i="1"/>
  <c r="K389" i="1"/>
  <c r="L389" i="1"/>
  <c r="M389" i="1"/>
  <c r="N389" i="1"/>
  <c r="O389" i="1"/>
  <c r="P389" i="1"/>
  <c r="Q389" i="1"/>
  <c r="Q390" i="1" s="1"/>
  <c r="R389" i="1"/>
  <c r="R390" i="1" s="1"/>
  <c r="S389" i="1"/>
  <c r="S390" i="1" s="1"/>
  <c r="T389" i="1"/>
  <c r="U389" i="1"/>
  <c r="T390" i="1"/>
  <c r="U39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S401" i="1" s="1"/>
  <c r="T400" i="1"/>
  <c r="T401" i="1" s="1"/>
  <c r="U400" i="1"/>
  <c r="U401" i="1" s="1"/>
  <c r="Q401" i="1"/>
  <c r="R40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G435" i="1"/>
  <c r="H435" i="1"/>
  <c r="I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74" i="1"/>
  <c r="H474" i="1"/>
  <c r="I474" i="1"/>
  <c r="I475" i="1" s="1"/>
  <c r="J474" i="1"/>
  <c r="J475" i="1" s="1"/>
  <c r="K474" i="1"/>
  <c r="K475" i="1" s="1"/>
  <c r="L474" i="1"/>
  <c r="M474" i="1"/>
  <c r="N474" i="1"/>
  <c r="O474" i="1"/>
  <c r="O475" i="1" s="1"/>
  <c r="P474" i="1"/>
  <c r="P475" i="1" s="1"/>
  <c r="Q474" i="1"/>
  <c r="Q475" i="1" s="1"/>
  <c r="R474" i="1"/>
  <c r="R475" i="1" s="1"/>
  <c r="S474" i="1"/>
  <c r="S475" i="1" s="1"/>
  <c r="T474" i="1"/>
  <c r="U474" i="1"/>
  <c r="L475" i="1"/>
  <c r="M475" i="1"/>
  <c r="N475" i="1"/>
  <c r="T475" i="1"/>
  <c r="U475" i="1"/>
  <c r="K484" i="1"/>
  <c r="L484" i="1"/>
  <c r="M484" i="1"/>
  <c r="N484" i="1"/>
  <c r="O484" i="1"/>
  <c r="G492" i="1"/>
  <c r="H492" i="1"/>
  <c r="H493" i="1" s="1"/>
  <c r="I492" i="1"/>
  <c r="I493" i="1" s="1"/>
  <c r="J492" i="1"/>
  <c r="J493" i="1" s="1"/>
  <c r="K492" i="1"/>
  <c r="L492" i="1"/>
  <c r="M492" i="1"/>
  <c r="N492" i="1"/>
  <c r="O492" i="1"/>
  <c r="P492" i="1"/>
  <c r="P493" i="1" s="1"/>
  <c r="Q492" i="1"/>
  <c r="Q493" i="1" s="1"/>
  <c r="G493" i="1"/>
  <c r="K493" i="1"/>
  <c r="L493" i="1"/>
  <c r="M493" i="1"/>
  <c r="N493" i="1"/>
  <c r="O493" i="1"/>
  <c r="R493" i="1"/>
  <c r="S493" i="1"/>
  <c r="T493" i="1"/>
  <c r="U493" i="1"/>
  <c r="G523" i="1"/>
  <c r="H523" i="1"/>
  <c r="I523" i="1"/>
  <c r="J523" i="1"/>
  <c r="K52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J554" i="1"/>
  <c r="K554" i="1"/>
  <c r="L554" i="1"/>
  <c r="M554" i="1"/>
  <c r="N554" i="1"/>
  <c r="O554" i="1"/>
  <c r="P554" i="1"/>
  <c r="Q554" i="1"/>
  <c r="R554" i="1"/>
  <c r="S554" i="1"/>
  <c r="T554" i="1"/>
  <c r="U554" i="1"/>
</calcChain>
</file>

<file path=xl/sharedStrings.xml><?xml version="1.0" encoding="utf-8"?>
<sst xmlns="http://schemas.openxmlformats.org/spreadsheetml/2006/main" count="538" uniqueCount="174">
  <si>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</si>
  <si>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</si>
  <si>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</si>
  <si>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</si>
  <si>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</si>
  <si>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</si>
  <si>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</si>
  <si>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</si>
  <si>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</si>
  <si>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</si>
  <si>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</si>
  <si>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</si>
  <si>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</si>
  <si>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</si>
  <si>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</si>
  <si>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</si>
  <si>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</si>
  <si>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</si>
  <si>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</si>
  <si>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</si>
  <si>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</si>
  <si>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</si>
  <si>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</si>
  <si>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</si>
  <si>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</si>
  <si>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</si>
  <si>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</si>
  <si>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</si>
  <si>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</si>
  <si>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</si>
  <si>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</si>
  <si>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</si>
  <si>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</si>
  <si>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</si>
  <si>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</si>
  <si>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</si>
  <si>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</si>
  <si>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</si>
  <si>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</si>
  <si>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</si>
  <si>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</si>
  <si>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</si>
  <si>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</si>
  <si>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</si>
  <si>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</si>
  <si>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</si>
  <si>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</si>
  <si>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</si>
  <si>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</si>
  <si>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</si>
  <si>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</si>
  <si>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</si>
  <si>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</si>
  <si>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</si>
  <si>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</si>
  <si>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</si>
  <si>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</si>
  <si>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</si>
  <si>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</si>
  <si>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</si>
  <si>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</si>
  <si>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</si>
  <si>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</si>
  <si>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</si>
  <si>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</si>
  <si>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</si>
  <si>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</si>
  <si>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</si>
  <si>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</si>
  <si>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</si>
  <si>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</si>
  <si>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</si>
  <si>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</si>
  <si>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</si>
  <si>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</si>
  <si>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</si>
  <si>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</si>
  <si>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</si>
  <si>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</si>
  <si>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</si>
  <si>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</si>
  <si>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</si>
  <si>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</si>
  <si>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</si>
  <si>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</si>
  <si>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</si>
  <si>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</si>
  <si>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</si>
  <si>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</si>
  <si>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</si>
  <si>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</si>
  <si>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</si>
  <si>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</si>
  <si>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</si>
  <si>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</si>
  <si>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</si>
  <si>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</si>
  <si>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</si>
  <si>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</si>
  <si>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</si>
  <si>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</si>
  <si>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</si>
  <si>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</si>
  <si>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</si>
  <si>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</si>
  <si>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</si>
  <si>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</si>
  <si>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</si>
  <si>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</si>
  <si>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</si>
  <si>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</si>
  <si>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</si>
  <si>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</si>
  <si>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</si>
  <si>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</si>
  <si>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</si>
  <si>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</si>
  <si>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</si>
  <si>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</si>
  <si>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</si>
  <si>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</si>
  <si>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</si>
  <si>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</si>
  <si>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</si>
  <si>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</si>
  <si>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</si>
  <si>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</si>
  <si>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</si>
  <si>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</si>
  <si>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</si>
  <si>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</si>
  <si>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</si>
  <si>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</si>
  <si>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</si>
  <si>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</si>
  <si>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</si>
  <si>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</si>
  <si>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</si>
  <si>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</si>
  <si>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</si>
  <si>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</si>
  <si>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</si>
  <si>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</si>
  <si>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</si>
  <si>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</si>
  <si>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</si>
  <si>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</si>
  <si>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</si>
  <si>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</si>
  <si>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</si>
  <si>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</si>
  <si>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</si>
  <si>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</si>
  <si>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</si>
  <si>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</si>
  <si>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</si>
  <si>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</si>
  <si>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</si>
  <si>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</si>
  <si>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</si>
  <si>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</si>
  <si>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</si>
  <si>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</si>
  <si>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EXHIBIT 1</t>
  </si>
  <si>
    <t>GAS PURCHASE AGREEMENT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</si>
  <si>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</si>
  <si>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</si>
  <si>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</si>
  <si>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</si>
  <si>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</si>
  <si>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For the following pipelines - TCO,CNG,AGT,Tenn Z5 &amp; Z6, Texas</t>
  </si>
  <si>
    <t>Gas, Transco Z4 &amp; Z5, Equitrans, E.Tenn, and Sonat - all</t>
  </si>
  <si>
    <t>citygates and pipeline interconnects without primary FT are</t>
  </si>
  <si>
    <t>considered ill-liquid and non-primary firm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</si>
</sst>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9"/>
  <sheetViews>
    <sheetView tabSelected="1" zoomScale="75" workbookViewId="0">
      <pane xSplit="5" ySplit="16" topLeftCell="F347" activePane="bottomRight" state="frozen"/>
      <selection pane="topRight" activeCell="E1" sqref="E1"/>
      <selection pane="bottomLeft" activeCell="A4" sqref="A4"/>
      <selection pane="bottomRight" activeCell="J355" sqref="J355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A1" s="3" t="s">
        <v>163</v>
      </c>
      <c r="B1" s="3"/>
      <c r="C1" s="3" t="s">
        <v>164</v>
      </c>
      <c r="D1" s="3"/>
      <c r="E1" s="3"/>
    </row>
    <row r="2" spans="1:52" x14ac:dyDescent="0.2">
      <c r="A2" s="3"/>
      <c r="B2" s="3"/>
      <c r="C2" s="3"/>
      <c r="D2" s="3"/>
      <c r="E2" s="3"/>
    </row>
    <row r="3" spans="1:52" x14ac:dyDescent="0.2">
      <c r="A3" s="3"/>
      <c r="B3" s="3" t="s">
        <v>123</v>
      </c>
      <c r="C3" s="3"/>
      <c r="D3" s="3"/>
      <c r="E3" s="3"/>
    </row>
    <row r="4" spans="1:52" x14ac:dyDescent="0.2">
      <c r="A4" s="3"/>
      <c r="B4" s="3"/>
      <c r="C4" s="3" t="s">
        <v>122</v>
      </c>
      <c r="D4" s="3"/>
      <c r="E4" s="3"/>
    </row>
    <row r="5" spans="1:52" x14ac:dyDescent="0.2">
      <c r="A5" s="3"/>
      <c r="B5" s="3" t="s">
        <v>159</v>
      </c>
      <c r="C5" s="3"/>
      <c r="D5" s="3"/>
      <c r="E5" s="3"/>
    </row>
    <row r="6" spans="1:52" x14ac:dyDescent="0.2">
      <c r="A6" s="3"/>
      <c r="B6" s="3"/>
      <c r="C6" s="3" t="s">
        <v>153</v>
      </c>
      <c r="D6" s="3"/>
      <c r="E6" s="3"/>
    </row>
    <row r="7" spans="1:52" x14ac:dyDescent="0.2">
      <c r="A7" s="3"/>
      <c r="B7" s="3" t="s">
        <v>124</v>
      </c>
      <c r="C7" s="3"/>
      <c r="D7" s="3"/>
      <c r="E7" s="3"/>
    </row>
    <row r="8" spans="1:52" x14ac:dyDescent="0.2">
      <c r="A8" s="3"/>
      <c r="B8" s="3"/>
      <c r="C8" s="3" t="s">
        <v>160</v>
      </c>
      <c r="D8" s="3"/>
      <c r="E8" s="3"/>
    </row>
    <row r="9" spans="1:52" x14ac:dyDescent="0.2">
      <c r="A9" s="3"/>
      <c r="B9" s="3"/>
      <c r="C9" s="3" t="s">
        <v>125</v>
      </c>
      <c r="D9" s="3"/>
      <c r="E9" s="3"/>
    </row>
    <row r="10" spans="1:52" x14ac:dyDescent="0.2">
      <c r="A10" s="3"/>
      <c r="B10" s="3" t="s">
        <v>126</v>
      </c>
      <c r="C10" s="3"/>
      <c r="D10" s="3"/>
      <c r="E10" s="3"/>
    </row>
    <row r="11" spans="1:52" x14ac:dyDescent="0.2">
      <c r="A11" s="3"/>
      <c r="B11" s="3" t="s">
        <v>129</v>
      </c>
      <c r="C11" s="3"/>
      <c r="D11" s="3"/>
      <c r="E11" s="3"/>
    </row>
    <row r="12" spans="1:52" x14ac:dyDescent="0.2">
      <c r="A12" s="3"/>
      <c r="B12" s="3" t="s">
        <v>170</v>
      </c>
      <c r="C12" s="3"/>
      <c r="D12" s="3"/>
      <c r="E12" s="3"/>
    </row>
    <row r="13" spans="1:52" x14ac:dyDescent="0.2">
      <c r="A13" s="3"/>
      <c r="B13" s="3"/>
      <c r="C13" s="3" t="s">
        <v>171</v>
      </c>
      <c r="D13" s="3"/>
      <c r="E13" s="3"/>
    </row>
    <row r="14" spans="1:52" x14ac:dyDescent="0.2">
      <c r="A14" s="3"/>
      <c r="B14" s="3"/>
      <c r="C14" s="3" t="s">
        <v>172</v>
      </c>
      <c r="D14" s="3"/>
      <c r="E14" s="3"/>
    </row>
    <row r="15" spans="1:52" x14ac:dyDescent="0.2">
      <c r="A15" s="3"/>
      <c r="B15" s="3"/>
      <c r="C15" s="3" t="s">
        <v>173</v>
      </c>
      <c r="D15" s="3"/>
      <c r="E15" s="3"/>
      <c r="G15" s="3" t="s">
        <v>115</v>
      </c>
    </row>
    <row r="16" spans="1:52" x14ac:dyDescent="0.2">
      <c r="G16" s="2">
        <v>36526</v>
      </c>
      <c r="H16" s="2">
        <v>36557</v>
      </c>
      <c r="I16" s="2">
        <v>36586</v>
      </c>
      <c r="J16" s="2">
        <v>36617</v>
      </c>
      <c r="K16" s="2">
        <v>36647</v>
      </c>
      <c r="L16" s="2">
        <v>36678</v>
      </c>
      <c r="M16" s="2">
        <v>36708</v>
      </c>
      <c r="N16" s="2">
        <v>36739</v>
      </c>
      <c r="O16" s="2">
        <v>36770</v>
      </c>
      <c r="P16" s="2">
        <v>36800</v>
      </c>
      <c r="Q16" s="2">
        <v>36831</v>
      </c>
      <c r="R16" s="2">
        <v>36861</v>
      </c>
      <c r="S16" s="2">
        <v>36892</v>
      </c>
      <c r="T16" s="2">
        <v>36923</v>
      </c>
      <c r="U16" s="2">
        <v>36951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24" s="3" customFormat="1" x14ac:dyDescent="0.2"/>
    <row r="18" spans="1:24" x14ac:dyDescent="0.2">
      <c r="A18" s="3" t="s">
        <v>0</v>
      </c>
      <c r="B18" s="3"/>
      <c r="C18" s="3"/>
      <c r="D18" s="3"/>
      <c r="E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4" x14ac:dyDescent="0.2">
      <c r="B19" s="3" t="s">
        <v>137</v>
      </c>
      <c r="C19" s="3"/>
      <c r="D19" s="3"/>
      <c r="E19" s="3"/>
      <c r="F19" s="3"/>
      <c r="G19" s="11">
        <v>7.4999999999999997E-3</v>
      </c>
      <c r="H19" s="11">
        <v>7.4999999999999997E-3</v>
      </c>
      <c r="I19" s="11">
        <v>7.4999999999999997E-3</v>
      </c>
      <c r="J19" s="11">
        <v>7.4999999999999997E-3</v>
      </c>
      <c r="K19" s="11">
        <v>7.4999999999999997E-3</v>
      </c>
      <c r="L19" s="11">
        <v>7.4999999999999997E-3</v>
      </c>
      <c r="M19" s="11">
        <v>7.4999999999999997E-3</v>
      </c>
      <c r="N19" s="11">
        <v>7.4999999999999997E-3</v>
      </c>
      <c r="O19" s="11">
        <v>7.4999999999999997E-3</v>
      </c>
      <c r="P19" s="11">
        <v>7.4999999999999997E-3</v>
      </c>
      <c r="Q19" s="11">
        <v>1.2500000000000001E-2</v>
      </c>
      <c r="R19" s="11">
        <v>1.2500000000000001E-2</v>
      </c>
      <c r="S19" s="11">
        <v>1.2500000000000001E-2</v>
      </c>
      <c r="T19" s="11">
        <v>1.2500000000000001E-2</v>
      </c>
      <c r="U19" s="11">
        <v>1.2500000000000001E-2</v>
      </c>
      <c r="V19" s="3"/>
      <c r="W19" s="3"/>
      <c r="X19" s="3"/>
    </row>
    <row r="20" spans="1:24" x14ac:dyDescent="0.2">
      <c r="B20" s="3" t="s">
        <v>139</v>
      </c>
      <c r="C20" s="3"/>
      <c r="D20" s="3"/>
      <c r="E20" s="3"/>
      <c r="F20" s="3"/>
      <c r="G20" s="11">
        <v>0.13</v>
      </c>
      <c r="H20" s="11">
        <v>0.13</v>
      </c>
      <c r="I20" s="11">
        <v>0.1</v>
      </c>
      <c r="J20" s="11">
        <v>0.06</v>
      </c>
      <c r="K20" s="11">
        <v>0.02</v>
      </c>
      <c r="L20" s="11">
        <v>0.02</v>
      </c>
      <c r="M20" s="11">
        <v>0.02</v>
      </c>
      <c r="N20" s="11">
        <v>0.02</v>
      </c>
      <c r="O20" s="11">
        <v>0.02</v>
      </c>
      <c r="P20" s="11">
        <v>0.06</v>
      </c>
      <c r="Q20" s="11">
        <v>0.1</v>
      </c>
      <c r="R20" s="11">
        <v>0.11</v>
      </c>
      <c r="S20" s="11">
        <v>0.13</v>
      </c>
      <c r="T20" s="11">
        <v>0.13</v>
      </c>
      <c r="U20" s="11">
        <v>0.1</v>
      </c>
      <c r="V20" s="3"/>
      <c r="W20" s="3"/>
      <c r="X20" s="3"/>
    </row>
    <row r="21" spans="1:24" x14ac:dyDescent="0.2">
      <c r="B21" s="3"/>
      <c r="C21" s="3" t="s">
        <v>138</v>
      </c>
      <c r="D21" s="3"/>
      <c r="E21" s="3"/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</row>
    <row r="22" spans="1:24" x14ac:dyDescent="0.2">
      <c r="B22" s="3" t="s">
        <v>140</v>
      </c>
      <c r="C22" s="3"/>
      <c r="D22" s="3"/>
      <c r="E22" s="3"/>
      <c r="F22" s="3"/>
      <c r="G22" s="4" t="s">
        <v>141</v>
      </c>
      <c r="H22" s="4"/>
      <c r="I22" s="4"/>
      <c r="J22" s="4" t="s">
        <v>144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</row>
    <row r="23" spans="1:24" x14ac:dyDescent="0.2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4" x14ac:dyDescent="0.2">
      <c r="B24" s="3" t="s">
        <v>1</v>
      </c>
      <c r="C24" s="3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4" x14ac:dyDescent="0.2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4" x14ac:dyDescent="0.2">
      <c r="C26" t="s">
        <v>120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8"/>
      <c r="W26" s="8"/>
      <c r="X26" s="8"/>
    </row>
    <row r="27" spans="1:24" x14ac:dyDescent="0.2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4" x14ac:dyDescent="0.2">
      <c r="C28" t="s">
        <v>121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4" x14ac:dyDescent="0.2">
      <c r="C29" t="s">
        <v>114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4" x14ac:dyDescent="0.2">
      <c r="C30" t="s">
        <v>3</v>
      </c>
      <c r="G30" s="5" t="s">
        <v>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4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" x14ac:dyDescent="0.2">
      <c r="B32" s="3" t="s">
        <v>1</v>
      </c>
      <c r="C32" s="3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1" hidden="1" x14ac:dyDescent="0.2">
      <c r="C34" t="s">
        <v>120</v>
      </c>
      <c r="G34" s="8">
        <v>4633</v>
      </c>
      <c r="H34" s="8">
        <v>4267</v>
      </c>
      <c r="I34" s="8">
        <v>4513</v>
      </c>
      <c r="J34" s="8">
        <v>12658</v>
      </c>
      <c r="K34" s="8">
        <v>6882</v>
      </c>
      <c r="L34" s="8">
        <v>5634</v>
      </c>
      <c r="M34" s="8">
        <v>6291</v>
      </c>
      <c r="N34" s="8">
        <v>6389</v>
      </c>
      <c r="O34" s="8">
        <v>8567</v>
      </c>
      <c r="P34" s="8">
        <v>3300</v>
      </c>
      <c r="Q34" s="8">
        <v>3000</v>
      </c>
      <c r="R34" s="8">
        <v>3400</v>
      </c>
      <c r="S34" s="8">
        <v>3400</v>
      </c>
      <c r="T34" s="8">
        <v>3200</v>
      </c>
      <c r="U34" s="8">
        <v>3400</v>
      </c>
    </row>
    <row r="35" spans="2:21" s="7" customFormat="1" x14ac:dyDescent="0.2">
      <c r="C35" t="s">
        <v>120</v>
      </c>
      <c r="G35" s="9">
        <f>G34/31</f>
        <v>149.45161290322579</v>
      </c>
      <c r="H35" s="9">
        <v>168</v>
      </c>
      <c r="I35" s="9">
        <v>165</v>
      </c>
      <c r="J35" s="9">
        <v>143</v>
      </c>
      <c r="K35" s="9">
        <v>100</v>
      </c>
      <c r="L35" s="9">
        <v>97</v>
      </c>
      <c r="M35" s="9">
        <v>98</v>
      </c>
      <c r="N35" s="9">
        <v>97</v>
      </c>
      <c r="O35" s="9">
        <v>103</v>
      </c>
      <c r="P35" s="9">
        <f>P34/31</f>
        <v>106.45161290322581</v>
      </c>
      <c r="Q35" s="9">
        <f>Q34/30</f>
        <v>100</v>
      </c>
      <c r="R35" s="9">
        <f>R34/31</f>
        <v>109.6774193548387</v>
      </c>
      <c r="S35" s="9">
        <f>S34/31</f>
        <v>109.6774193548387</v>
      </c>
      <c r="T35" s="9">
        <f>T34/28</f>
        <v>114.28571428571429</v>
      </c>
      <c r="U35" s="9">
        <f>U34/31</f>
        <v>109.6774193548387</v>
      </c>
    </row>
    <row r="36" spans="2:21" s="7" customFormat="1" x14ac:dyDescent="0.2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s="7" customFormat="1" x14ac:dyDescent="0.2">
      <c r="C37" s="7" t="s">
        <v>121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s="7" customFormat="1" x14ac:dyDescent="0.2">
      <c r="C38" s="7" t="s">
        <v>114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">
      <c r="C39" t="s">
        <v>3</v>
      </c>
      <c r="G39" s="5" t="s">
        <v>79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">
      <c r="B41" s="3" t="s">
        <v>5</v>
      </c>
      <c r="C41" s="3" t="s">
        <v>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">
      <c r="C43" t="s">
        <v>120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">
      <c r="C44" t="s">
        <v>114</v>
      </c>
      <c r="G44" s="6">
        <v>37</v>
      </c>
      <c r="H44" s="6">
        <v>37</v>
      </c>
      <c r="I44" s="6">
        <v>37</v>
      </c>
      <c r="J44" s="6">
        <v>34</v>
      </c>
      <c r="K44" s="6">
        <v>34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">
      <c r="C45" t="s">
        <v>121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">
      <c r="C46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">
      <c r="C47" t="s">
        <v>3</v>
      </c>
      <c r="G47" s="5" t="s">
        <v>80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2:25" x14ac:dyDescent="0.2">
      <c r="B49" s="3" t="s">
        <v>7</v>
      </c>
      <c r="C49" s="3" t="s">
        <v>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2:25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idden="1" x14ac:dyDescent="0.2">
      <c r="C51" t="s">
        <v>120</v>
      </c>
      <c r="G51" s="10">
        <v>38053</v>
      </c>
      <c r="H51" s="10">
        <v>30000</v>
      </c>
      <c r="I51" s="10">
        <v>0</v>
      </c>
      <c r="J51" s="10">
        <v>808</v>
      </c>
      <c r="K51" s="10">
        <v>191</v>
      </c>
      <c r="L51" s="10">
        <v>230</v>
      </c>
      <c r="M51" s="10">
        <v>3</v>
      </c>
      <c r="N51" s="10">
        <v>3</v>
      </c>
      <c r="O51" s="10">
        <v>160</v>
      </c>
      <c r="P51" s="10">
        <v>179</v>
      </c>
      <c r="Q51" s="10">
        <v>920</v>
      </c>
      <c r="R51" s="10">
        <v>1577</v>
      </c>
      <c r="S51" s="10">
        <v>2623</v>
      </c>
      <c r="T51" s="10">
        <v>2065</v>
      </c>
      <c r="U51" s="10">
        <v>2596</v>
      </c>
      <c r="V51" s="6"/>
      <c r="W51" s="6"/>
      <c r="X51" s="6"/>
      <c r="Y51" s="6"/>
    </row>
    <row r="52" spans="2:25" s="7" customFormat="1" x14ac:dyDescent="0.2">
      <c r="C52" t="s">
        <v>120</v>
      </c>
      <c r="G52" s="10">
        <v>1173</v>
      </c>
      <c r="H52" s="10">
        <v>1106</v>
      </c>
      <c r="I52" s="10">
        <v>84</v>
      </c>
      <c r="J52" s="10">
        <v>27</v>
      </c>
      <c r="K52" s="10">
        <v>6</v>
      </c>
      <c r="L52" s="10">
        <f>L51/30</f>
        <v>7.666666666666667</v>
      </c>
      <c r="M52" s="10">
        <f>M51/31</f>
        <v>9.6774193548387094E-2</v>
      </c>
      <c r="N52" s="10">
        <f>N51/31</f>
        <v>9.6774193548387094E-2</v>
      </c>
      <c r="O52" s="10">
        <f>O51/30</f>
        <v>5.333333333333333</v>
      </c>
      <c r="P52" s="10">
        <f>P51/31</f>
        <v>5.774193548387097</v>
      </c>
      <c r="Q52" s="10">
        <f>Q51/30</f>
        <v>30.666666666666668</v>
      </c>
      <c r="R52" s="10">
        <f>R51/31</f>
        <v>50.87096774193548</v>
      </c>
      <c r="S52" s="10">
        <f>S51/31</f>
        <v>84.612903225806448</v>
      </c>
      <c r="T52" s="10">
        <f>T51/28</f>
        <v>73.75</v>
      </c>
      <c r="U52" s="10">
        <f>U51/31</f>
        <v>83.741935483870961</v>
      </c>
      <c r="V52" s="6"/>
      <c r="W52" s="6"/>
      <c r="X52" s="6"/>
      <c r="Y52" s="6"/>
    </row>
    <row r="53" spans="2:25" s="7" customFormat="1" x14ac:dyDescent="0.2">
      <c r="C53" s="7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  <c r="W53" s="6"/>
      <c r="X53" s="6"/>
      <c r="Y53" s="6"/>
    </row>
    <row r="54" spans="2:25" hidden="1" x14ac:dyDescent="0.2">
      <c r="C54" t="s">
        <v>121</v>
      </c>
      <c r="G54" s="10">
        <v>39694</v>
      </c>
      <c r="H54" s="10">
        <v>34693</v>
      </c>
      <c r="I54" s="10">
        <v>27024</v>
      </c>
      <c r="J54" s="10">
        <v>16636</v>
      </c>
      <c r="K54" s="10">
        <v>8246</v>
      </c>
      <c r="L54" s="10">
        <v>4083</v>
      </c>
      <c r="M54" s="10">
        <v>3847</v>
      </c>
      <c r="N54" s="10">
        <v>3882</v>
      </c>
      <c r="O54" s="10">
        <v>4919</v>
      </c>
      <c r="P54" s="10">
        <v>8103</v>
      </c>
      <c r="Q54" s="10">
        <v>8888</v>
      </c>
      <c r="R54" s="10">
        <v>11978</v>
      </c>
      <c r="S54" s="10">
        <v>5419</v>
      </c>
      <c r="T54" s="10">
        <v>2363</v>
      </c>
      <c r="U54" s="10">
        <v>1033</v>
      </c>
      <c r="V54" s="6"/>
      <c r="W54" s="6"/>
      <c r="X54" s="6"/>
      <c r="Y54" s="6"/>
    </row>
    <row r="55" spans="2:25" s="7" customFormat="1" x14ac:dyDescent="0.2">
      <c r="C55" t="s">
        <v>121</v>
      </c>
      <c r="G55" s="10">
        <v>484</v>
      </c>
      <c r="H55" s="10">
        <v>551</v>
      </c>
      <c r="I55" s="10">
        <v>393</v>
      </c>
      <c r="J55" s="10">
        <f>J54/30</f>
        <v>554.5333333333333</v>
      </c>
      <c r="K55" s="10">
        <f>K54/31</f>
        <v>266</v>
      </c>
      <c r="L55" s="10">
        <f>L54/30</f>
        <v>136.1</v>
      </c>
      <c r="M55" s="10">
        <f>M54/31</f>
        <v>124.09677419354838</v>
      </c>
      <c r="N55" s="10">
        <f>N54/31</f>
        <v>125.2258064516129</v>
      </c>
      <c r="O55" s="10">
        <f>O54/30</f>
        <v>163.96666666666667</v>
      </c>
      <c r="P55" s="10">
        <f>P54/31</f>
        <v>261.38709677419354</v>
      </c>
      <c r="Q55" s="10">
        <f>Q54/30</f>
        <v>296.26666666666665</v>
      </c>
      <c r="R55" s="10">
        <f>R54/31</f>
        <v>386.38709677419354</v>
      </c>
      <c r="S55" s="10">
        <f>S54/31</f>
        <v>174.80645161290323</v>
      </c>
      <c r="T55" s="10">
        <f>T54/28</f>
        <v>84.392857142857139</v>
      </c>
      <c r="U55" s="10">
        <f>U54/31</f>
        <v>33.322580645161288</v>
      </c>
      <c r="V55" s="6"/>
      <c r="W55" s="6"/>
      <c r="X55" s="6"/>
      <c r="Y55" s="6"/>
    </row>
    <row r="56" spans="2:25" s="7" customFormat="1" x14ac:dyDescent="0.2">
      <c r="C56" s="7" t="s">
        <v>114</v>
      </c>
      <c r="G56" s="6">
        <v>2154</v>
      </c>
      <c r="H56" s="6">
        <v>2154</v>
      </c>
      <c r="I56" s="6">
        <v>2154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/>
      <c r="W56" s="6"/>
      <c r="X56" s="6"/>
      <c r="Y56" s="6"/>
    </row>
    <row r="57" spans="2:25" x14ac:dyDescent="0.2">
      <c r="C57" t="s">
        <v>3</v>
      </c>
      <c r="G57" s="5" t="s">
        <v>82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x14ac:dyDescent="0.2">
      <c r="B59" s="3" t="s">
        <v>7</v>
      </c>
      <c r="C59" s="3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2:25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5" hidden="1" x14ac:dyDescent="0.2">
      <c r="C61" t="s">
        <v>120</v>
      </c>
      <c r="G61" s="8">
        <v>36146</v>
      </c>
      <c r="H61" s="8">
        <v>29917</v>
      </c>
      <c r="I61" s="8">
        <v>29916</v>
      </c>
      <c r="J61" s="8">
        <v>15240</v>
      </c>
      <c r="K61" s="8">
        <v>7068</v>
      </c>
      <c r="L61" s="8">
        <v>4950</v>
      </c>
      <c r="M61" s="8">
        <v>4464</v>
      </c>
      <c r="N61" s="8">
        <v>3596</v>
      </c>
      <c r="O61" s="8">
        <v>3870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s="7" customFormat="1" x14ac:dyDescent="0.2">
      <c r="C62" t="s">
        <v>120</v>
      </c>
      <c r="G62" s="9">
        <f>G61/31</f>
        <v>1166</v>
      </c>
      <c r="H62" s="9">
        <f>H61/29</f>
        <v>1031.6206896551723</v>
      </c>
      <c r="I62" s="9">
        <f>I61/31</f>
        <v>965.0322580645161</v>
      </c>
      <c r="J62" s="9">
        <f>J61/30</f>
        <v>508</v>
      </c>
      <c r="K62" s="9">
        <f>K61/31</f>
        <v>228</v>
      </c>
      <c r="L62" s="9">
        <f>L61/30</f>
        <v>165</v>
      </c>
      <c r="M62" s="9">
        <f>M61/31</f>
        <v>144</v>
      </c>
      <c r="N62" s="9">
        <f>N61/31</f>
        <v>116</v>
      </c>
      <c r="O62" s="9">
        <f>O61/30</f>
        <v>129</v>
      </c>
      <c r="P62" s="9">
        <f>P61/31</f>
        <v>0</v>
      </c>
      <c r="Q62" s="9">
        <f>Q61/30</f>
        <v>0</v>
      </c>
      <c r="R62" s="9">
        <f>R61/31</f>
        <v>0</v>
      </c>
      <c r="S62" s="9">
        <f>S61/31</f>
        <v>0</v>
      </c>
      <c r="T62" s="9">
        <f>T61/28</f>
        <v>0</v>
      </c>
      <c r="U62" s="9">
        <f>U61/31</f>
        <v>0</v>
      </c>
    </row>
    <row r="63" spans="2:25" x14ac:dyDescent="0.2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">
      <c r="C64" t="s">
        <v>121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2:21" x14ac:dyDescent="0.2">
      <c r="C65" t="s">
        <v>114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2:21" x14ac:dyDescent="0.2">
      <c r="C66" t="s">
        <v>3</v>
      </c>
      <c r="G66" s="5" t="s">
        <v>81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x14ac:dyDescent="0.2">
      <c r="B68" s="3" t="s">
        <v>7</v>
      </c>
      <c r="C68" s="3" t="s">
        <v>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2:21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2:21" hidden="1" x14ac:dyDescent="0.2">
      <c r="C70" t="s">
        <v>120</v>
      </c>
      <c r="G70" s="8">
        <v>5457</v>
      </c>
      <c r="H70" s="8">
        <v>7157</v>
      </c>
      <c r="I70" s="8">
        <v>4590</v>
      </c>
      <c r="J70" s="8">
        <v>4590</v>
      </c>
      <c r="K70" s="8">
        <v>4080</v>
      </c>
      <c r="L70" s="8">
        <v>2346</v>
      </c>
      <c r="M70" s="8">
        <v>1326</v>
      </c>
      <c r="N70" s="8">
        <v>255</v>
      </c>
      <c r="O70" s="8">
        <v>102</v>
      </c>
      <c r="P70" s="8">
        <v>2040</v>
      </c>
      <c r="Q70" s="8">
        <v>3570</v>
      </c>
      <c r="R70" s="8">
        <v>5423</v>
      </c>
      <c r="S70" s="5"/>
      <c r="T70" s="5"/>
      <c r="U70" s="5"/>
    </row>
    <row r="71" spans="2:21" s="7" customFormat="1" x14ac:dyDescent="0.2">
      <c r="C71" t="s">
        <v>120</v>
      </c>
      <c r="G71" s="9">
        <v>268</v>
      </c>
      <c r="H71" s="9">
        <v>343</v>
      </c>
      <c r="I71" s="9">
        <v>222</v>
      </c>
      <c r="J71" s="9">
        <v>256</v>
      </c>
      <c r="K71" s="9">
        <v>197</v>
      </c>
      <c r="L71" s="9">
        <v>118</v>
      </c>
      <c r="M71" s="9">
        <v>82</v>
      </c>
      <c r="N71" s="9">
        <v>45</v>
      </c>
      <c r="O71" s="9">
        <v>43</v>
      </c>
      <c r="P71" s="9">
        <v>105</v>
      </c>
      <c r="Q71" s="9">
        <v>207</v>
      </c>
      <c r="R71" s="9">
        <v>295</v>
      </c>
      <c r="S71" s="9">
        <v>81</v>
      </c>
      <c r="T71" s="9">
        <v>100</v>
      </c>
      <c r="U71" s="9">
        <v>75</v>
      </c>
    </row>
    <row r="72" spans="2:21" s="7" customFormat="1" x14ac:dyDescent="0.2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C73" t="s">
        <v>121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2:21" s="7" customFormat="1" x14ac:dyDescent="0.2">
      <c r="C74" s="7" t="s">
        <v>114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C75" t="s">
        <v>3</v>
      </c>
      <c r="G75" s="5" t="s">
        <v>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">
      <c r="B77" s="3" t="s">
        <v>7</v>
      </c>
      <c r="C77" s="3" t="s">
        <v>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2:21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2:21" x14ac:dyDescent="0.2">
      <c r="C79" t="s">
        <v>120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">
      <c r="C81" t="s">
        <v>121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2:53" x14ac:dyDescent="0.2">
      <c r="C82" t="s">
        <v>114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2:53" x14ac:dyDescent="0.2">
      <c r="C83" t="s">
        <v>3</v>
      </c>
      <c r="G83" s="5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53" x14ac:dyDescent="0.2">
      <c r="B85" s="3" t="s">
        <v>7</v>
      </c>
      <c r="C85" s="3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53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hidden="1" x14ac:dyDescent="0.2">
      <c r="C87" t="s">
        <v>120</v>
      </c>
      <c r="G87" s="10">
        <v>44024</v>
      </c>
      <c r="H87" s="10">
        <v>42058</v>
      </c>
      <c r="I87" s="10">
        <v>41816</v>
      </c>
      <c r="J87" s="10">
        <v>41816</v>
      </c>
      <c r="K87" s="10">
        <v>23295</v>
      </c>
      <c r="L87" s="10">
        <v>21586</v>
      </c>
      <c r="M87" s="10">
        <v>20344</v>
      </c>
      <c r="N87" s="10">
        <v>20190</v>
      </c>
      <c r="O87" s="10">
        <v>20805</v>
      </c>
      <c r="P87" s="10">
        <v>19343</v>
      </c>
      <c r="Q87" s="10">
        <v>1800</v>
      </c>
      <c r="R87" s="10">
        <v>2000</v>
      </c>
      <c r="S87" s="10">
        <v>2500</v>
      </c>
      <c r="T87" s="10">
        <v>2800</v>
      </c>
      <c r="U87" s="10">
        <v>2300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s="7" customFormat="1" x14ac:dyDescent="0.2">
      <c r="C88" t="s">
        <v>120</v>
      </c>
      <c r="G88" s="10">
        <v>753</v>
      </c>
      <c r="H88" s="10">
        <v>772</v>
      </c>
      <c r="I88" s="10">
        <v>720</v>
      </c>
      <c r="J88" s="10">
        <v>602</v>
      </c>
      <c r="K88" s="10">
        <v>528</v>
      </c>
      <c r="L88" s="10">
        <v>531</v>
      </c>
      <c r="M88" s="10">
        <v>531</v>
      </c>
      <c r="N88" s="10">
        <v>489</v>
      </c>
      <c r="O88" s="10">
        <v>520</v>
      </c>
      <c r="P88" s="10">
        <v>559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">
      <c r="C90" t="s">
        <v>121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2:53" s="7" customFormat="1" x14ac:dyDescent="0.2">
      <c r="C91" s="7" t="s">
        <v>114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2:53" x14ac:dyDescent="0.2">
      <c r="C92" t="s">
        <v>3</v>
      </c>
      <c r="G92" s="5" t="s">
        <v>85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">
      <c r="B94" s="3" t="s">
        <v>13</v>
      </c>
      <c r="C94" s="3" t="s">
        <v>14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2:53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2:53" x14ac:dyDescent="0.2">
      <c r="C96" t="s">
        <v>120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">
      <c r="C97" t="s">
        <v>114</v>
      </c>
      <c r="E97" t="s">
        <v>132</v>
      </c>
      <c r="G97" s="6">
        <v>176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">
      <c r="C98" t="s">
        <v>121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2:21" x14ac:dyDescent="0.2">
      <c r="C99" t="s">
        <v>114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2:21" x14ac:dyDescent="0.2">
      <c r="C100" t="s">
        <v>3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">
      <c r="B102" s="3" t="s">
        <v>13</v>
      </c>
      <c r="C102" s="3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2:21" x14ac:dyDescent="0.2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2:21" x14ac:dyDescent="0.2">
      <c r="C104" t="s">
        <v>120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">
      <c r="C106" t="s">
        <v>121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2:21" x14ac:dyDescent="0.2">
      <c r="C107" t="s">
        <v>114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2:21" x14ac:dyDescent="0.2">
      <c r="C108" t="s">
        <v>3</v>
      </c>
      <c r="G108" s="5" t="s">
        <v>87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">
      <c r="B110" s="3" t="s">
        <v>13</v>
      </c>
      <c r="C110" s="3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2:21" x14ac:dyDescent="0.2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2:21" x14ac:dyDescent="0.2">
      <c r="C112" t="s">
        <v>120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">
      <c r="C114" t="s">
        <v>121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2:53" x14ac:dyDescent="0.2">
      <c r="C115" t="s">
        <v>114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2:53" x14ac:dyDescent="0.2">
      <c r="C116" t="s">
        <v>3</v>
      </c>
      <c r="G116" s="5" t="s">
        <v>88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">
      <c r="B118" s="3" t="s">
        <v>13</v>
      </c>
      <c r="C118" s="3" t="s">
        <v>17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2:53" x14ac:dyDescent="0.2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2:53" x14ac:dyDescent="0.2">
      <c r="C120" t="s">
        <v>120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">
      <c r="C122" t="s">
        <v>121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2:53" x14ac:dyDescent="0.2">
      <c r="C123" t="s">
        <v>114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2:53" x14ac:dyDescent="0.2">
      <c r="C124" t="s">
        <v>3</v>
      </c>
      <c r="G124" s="5" t="s">
        <v>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2:53" x14ac:dyDescent="0.2">
      <c r="B126" s="3" t="s">
        <v>13</v>
      </c>
      <c r="C126" s="3" t="s">
        <v>18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2:53" x14ac:dyDescent="0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hidden="1" x14ac:dyDescent="0.2">
      <c r="C128" t="s">
        <v>120</v>
      </c>
      <c r="G128" s="10">
        <f>33635+620+79078+162973+165230-111905</f>
        <v>329631</v>
      </c>
      <c r="H128" s="10">
        <f>32335+580+73964+152556+145290-97924</f>
        <v>306801</v>
      </c>
      <c r="I128" s="10">
        <f>33325+620+78703+156829+153450-111905</f>
        <v>311022</v>
      </c>
      <c r="J128" s="10">
        <f>29100+77229+202382+81450-72200</f>
        <v>317961</v>
      </c>
      <c r="K128" s="10">
        <f>17391+61380+161124+62620-104974</f>
        <v>197541</v>
      </c>
      <c r="L128" s="10">
        <f>11520+59400+158702+59550-72200</f>
        <v>216972</v>
      </c>
      <c r="M128" s="10">
        <f>11233+61380+133426+52700-73760</f>
        <v>184979</v>
      </c>
      <c r="N128" s="10">
        <f>11233+55180+137704+59210-73760</f>
        <v>189567</v>
      </c>
      <c r="O128" s="10">
        <f>12041+59400+137822+61200-72200</f>
        <v>198263</v>
      </c>
      <c r="P128" s="10">
        <f>14756+64480+147963+63860-73760</f>
        <v>217299</v>
      </c>
      <c r="Q128" s="10">
        <f>13950+146723+63860-73760</f>
        <v>150773</v>
      </c>
      <c r="R128" s="10">
        <f>12400+51373</f>
        <v>63773</v>
      </c>
      <c r="S128" s="10">
        <f>12400+21923</f>
        <v>34323</v>
      </c>
      <c r="T128" s="10">
        <f>11200+19684</f>
        <v>30884</v>
      </c>
      <c r="U128" s="10">
        <f>11780+20956</f>
        <v>32736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s="7" customFormat="1" x14ac:dyDescent="0.2">
      <c r="C129" t="s">
        <v>120</v>
      </c>
      <c r="G129" s="10">
        <v>13923</v>
      </c>
      <c r="H129" s="10">
        <v>18020</v>
      </c>
      <c r="I129" s="10">
        <v>17815</v>
      </c>
      <c r="J129" s="10">
        <v>13065</v>
      </c>
      <c r="K129" s="10">
        <v>10100</v>
      </c>
      <c r="L129" s="10">
        <v>9681</v>
      </c>
      <c r="M129" s="10">
        <v>8388</v>
      </c>
      <c r="N129" s="10">
        <v>8536</v>
      </c>
      <c r="O129" s="10">
        <v>9057</v>
      </c>
      <c r="P129" s="10">
        <v>9431</v>
      </c>
      <c r="Q129" s="10">
        <v>2497</v>
      </c>
      <c r="R129" s="10">
        <f>R128/31</f>
        <v>2057.1935483870966</v>
      </c>
      <c r="S129" s="10">
        <f>S128/31</f>
        <v>1107.1935483870968</v>
      </c>
      <c r="T129" s="10">
        <f>T128/28</f>
        <v>1103</v>
      </c>
      <c r="U129" s="10">
        <f>U128/31</f>
        <v>1056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x14ac:dyDescent="0.2">
      <c r="C130" t="s">
        <v>114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hidden="1" x14ac:dyDescent="0.2">
      <c r="C131" t="s">
        <v>121</v>
      </c>
      <c r="G131" s="10">
        <f>18971+115875+4537+1083</f>
        <v>140466</v>
      </c>
      <c r="H131" s="10">
        <f>17163+104521+4537+1079</f>
        <v>127300</v>
      </c>
      <c r="I131" s="10">
        <f>17664+115378+4536+1075</f>
        <v>138653</v>
      </c>
      <c r="J131" s="10">
        <f>16941+111554+4535+1070</f>
        <v>134100</v>
      </c>
      <c r="K131" s="10">
        <f>17137+113656+4535+1066</f>
        <v>136394</v>
      </c>
      <c r="L131" s="10">
        <f>16555+109374+141+1061</f>
        <v>127131</v>
      </c>
      <c r="M131" s="10">
        <f>17061+112808+140+1056</f>
        <v>131065</v>
      </c>
      <c r="N131" s="10">
        <f>16970+112241+140+1052</f>
        <v>130403</v>
      </c>
      <c r="O131" s="10">
        <f>16025+108123+139+1047</f>
        <v>125334</v>
      </c>
      <c r="P131" s="10">
        <f>16423+111111+139+1043</f>
        <v>128716</v>
      </c>
      <c r="Q131" s="10">
        <f>15866+107039+138</f>
        <v>123043</v>
      </c>
      <c r="R131" s="10">
        <f>16351+86444</f>
        <v>102795</v>
      </c>
      <c r="S131" s="10">
        <f>14849+85603</f>
        <v>100452</v>
      </c>
      <c r="T131" s="10">
        <f>12584+76945</f>
        <v>89529</v>
      </c>
      <c r="U131" s="10">
        <f>13525+58974</f>
        <v>72499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s="7" customFormat="1" x14ac:dyDescent="0.2">
      <c r="C132" t="s">
        <v>121</v>
      </c>
      <c r="G132" s="10">
        <f>G131/31</f>
        <v>4531.1612903225805</v>
      </c>
      <c r="H132" s="10">
        <v>4521</v>
      </c>
      <c r="I132" s="10">
        <f>I131/31</f>
        <v>4472.677419354839</v>
      </c>
      <c r="J132" s="10">
        <f>J131/30</f>
        <v>4470</v>
      </c>
      <c r="K132" s="10">
        <f>K131/31</f>
        <v>4399.8064516129034</v>
      </c>
      <c r="L132" s="10">
        <f>L131/30</f>
        <v>4237.7</v>
      </c>
      <c r="M132" s="10">
        <f>M131/31</f>
        <v>4227.9032258064517</v>
      </c>
      <c r="N132" s="10">
        <f>N131/31</f>
        <v>4206.5483870967746</v>
      </c>
      <c r="O132" s="10">
        <f>O131/30</f>
        <v>4177.8</v>
      </c>
      <c r="P132" s="10">
        <f>P131/31</f>
        <v>4152.1290322580644</v>
      </c>
      <c r="Q132" s="10">
        <f>Q131/30</f>
        <v>4101.4333333333334</v>
      </c>
      <c r="R132" s="10">
        <v>3320</v>
      </c>
      <c r="S132" s="10">
        <f>S131/31</f>
        <v>3240.3870967741937</v>
      </c>
      <c r="T132" s="10">
        <f>T131/28</f>
        <v>3197.4642857142858</v>
      </c>
      <c r="U132" s="10">
        <f>U131/31</f>
        <v>2338.6774193548385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2:53" x14ac:dyDescent="0.2">
      <c r="C133" t="s">
        <v>114</v>
      </c>
      <c r="G133" s="6">
        <v>4606</v>
      </c>
      <c r="H133" s="6">
        <v>4606</v>
      </c>
      <c r="I133" s="6">
        <v>4606</v>
      </c>
      <c r="J133" s="6">
        <v>4593</v>
      </c>
      <c r="K133" s="6">
        <v>4593</v>
      </c>
      <c r="L133" s="6">
        <v>4501</v>
      </c>
      <c r="M133" s="6">
        <v>4501</v>
      </c>
      <c r="N133" s="6">
        <v>4500</v>
      </c>
      <c r="O133" s="6">
        <v>4466</v>
      </c>
      <c r="P133" s="6">
        <v>4466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2:53" x14ac:dyDescent="0.2">
      <c r="C134" t="s">
        <v>3</v>
      </c>
      <c r="G134" s="5" t="s">
        <v>90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">
      <c r="B136" s="3" t="s">
        <v>13</v>
      </c>
      <c r="C136" s="3" t="s">
        <v>19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2:53" x14ac:dyDescent="0.2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2:53" x14ac:dyDescent="0.2">
      <c r="C138" t="s">
        <v>120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">
      <c r="C140" t="s">
        <v>121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2:53" x14ac:dyDescent="0.2">
      <c r="C141" t="s">
        <v>114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2:53" x14ac:dyDescent="0.2">
      <c r="C142" t="s">
        <v>3</v>
      </c>
      <c r="G142" s="5" t="s">
        <v>91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2:53" x14ac:dyDescent="0.2">
      <c r="B144" s="3" t="s">
        <v>20</v>
      </c>
      <c r="C144" s="3" t="s">
        <v>21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2:53" x14ac:dyDescent="0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hidden="1" x14ac:dyDescent="0.2">
      <c r="C146" t="s">
        <v>120</v>
      </c>
      <c r="G146" s="10">
        <v>46803</v>
      </c>
      <c r="H146" s="10">
        <v>39147</v>
      </c>
      <c r="I146" s="10">
        <v>41237</v>
      </c>
      <c r="J146" s="10">
        <v>63069</v>
      </c>
      <c r="K146" s="10">
        <v>62774</v>
      </c>
      <c r="L146" s="10">
        <v>47361</v>
      </c>
      <c r="M146" s="10">
        <v>11574</v>
      </c>
      <c r="N146" s="10">
        <v>11834</v>
      </c>
      <c r="O146" s="10">
        <v>12248</v>
      </c>
      <c r="P146" s="10">
        <v>11857</v>
      </c>
      <c r="Q146" s="10">
        <v>14359</v>
      </c>
      <c r="R146" s="10">
        <v>9357</v>
      </c>
      <c r="S146" s="10">
        <v>11048</v>
      </c>
      <c r="T146" s="10">
        <v>9453</v>
      </c>
      <c r="U146" s="10">
        <v>8909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s="7" customFormat="1" x14ac:dyDescent="0.2">
      <c r="C147" t="s">
        <v>120</v>
      </c>
      <c r="G147" s="10">
        <v>2273</v>
      </c>
      <c r="H147" s="10">
        <v>2276</v>
      </c>
      <c r="I147" s="10">
        <v>2695</v>
      </c>
      <c r="J147" s="10">
        <v>2162</v>
      </c>
      <c r="K147" s="10">
        <v>2099</v>
      </c>
      <c r="L147" s="10">
        <v>1580</v>
      </c>
      <c r="M147" s="10">
        <v>375</v>
      </c>
      <c r="N147" s="10">
        <v>384</v>
      </c>
      <c r="O147" s="10">
        <v>407</v>
      </c>
      <c r="P147" s="10">
        <v>374</v>
      </c>
      <c r="Q147" s="10">
        <v>472</v>
      </c>
      <c r="R147" s="10">
        <v>310</v>
      </c>
      <c r="S147" s="10">
        <v>365</v>
      </c>
      <c r="T147" s="10">
        <v>347</v>
      </c>
      <c r="U147" s="10">
        <v>299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x14ac:dyDescent="0.2">
      <c r="C148" t="s">
        <v>114</v>
      </c>
      <c r="G148" s="6">
        <v>8000</v>
      </c>
      <c r="H148" s="6">
        <v>8000</v>
      </c>
      <c r="I148" s="6">
        <v>8000</v>
      </c>
      <c r="J148" s="6">
        <v>8000</v>
      </c>
      <c r="K148" s="6">
        <v>8000</v>
      </c>
      <c r="L148" s="6">
        <v>8000</v>
      </c>
      <c r="M148" s="6">
        <v>8000</v>
      </c>
      <c r="N148" s="6">
        <v>8000</v>
      </c>
      <c r="O148" s="6">
        <v>8000</v>
      </c>
      <c r="P148" s="6">
        <v>8000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hidden="1" x14ac:dyDescent="0.2">
      <c r="C149" t="s">
        <v>121</v>
      </c>
      <c r="G149" s="10">
        <v>423919</v>
      </c>
      <c r="H149" s="10">
        <v>369676</v>
      </c>
      <c r="I149" s="10">
        <v>287669</v>
      </c>
      <c r="J149" s="10">
        <v>177572</v>
      </c>
      <c r="K149" s="10">
        <v>87992</v>
      </c>
      <c r="L149" s="10">
        <v>43003</v>
      </c>
      <c r="M149" s="10">
        <v>40947</v>
      </c>
      <c r="N149" s="10">
        <v>41348</v>
      </c>
      <c r="O149" s="10">
        <v>52642</v>
      </c>
      <c r="P149" s="10">
        <v>85825</v>
      </c>
      <c r="Q149" s="10">
        <v>93095</v>
      </c>
      <c r="R149" s="10">
        <v>125431</v>
      </c>
      <c r="S149" s="10">
        <v>53808</v>
      </c>
      <c r="T149" s="10">
        <v>22306</v>
      </c>
      <c r="U149" s="10">
        <v>9049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s="7" customFormat="1" x14ac:dyDescent="0.2">
      <c r="C150" t="s">
        <v>121</v>
      </c>
      <c r="G150" s="10">
        <v>5164</v>
      </c>
      <c r="H150" s="10">
        <v>5874</v>
      </c>
      <c r="I150" s="10">
        <v>4188</v>
      </c>
      <c r="J150" s="10">
        <f>J149/30</f>
        <v>5919.0666666666666</v>
      </c>
      <c r="K150" s="10">
        <f>K149/31</f>
        <v>2838.4516129032259</v>
      </c>
      <c r="L150" s="10">
        <f>L149/30</f>
        <v>1433.4333333333334</v>
      </c>
      <c r="M150" s="10">
        <f>M149/31</f>
        <v>1320.8709677419354</v>
      </c>
      <c r="N150" s="10">
        <f>N149/31</f>
        <v>1333.8064516129032</v>
      </c>
      <c r="O150" s="10">
        <f>O149/30</f>
        <v>1754.7333333333333</v>
      </c>
      <c r="P150" s="10">
        <f>P149/31</f>
        <v>2768.5483870967741</v>
      </c>
      <c r="Q150" s="10">
        <f>Q149/30</f>
        <v>3103.1666666666665</v>
      </c>
      <c r="R150" s="10">
        <f>R149/31</f>
        <v>4046.1612903225805</v>
      </c>
      <c r="S150" s="10">
        <f>S149/31</f>
        <v>1735.741935483871</v>
      </c>
      <c r="T150" s="10">
        <f>T149/28</f>
        <v>796.64285714285711</v>
      </c>
      <c r="U150" s="10">
        <f>U149/31</f>
        <v>291.90322580645159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2:53" x14ac:dyDescent="0.2">
      <c r="C151" t="s">
        <v>114</v>
      </c>
      <c r="G151" s="6">
        <v>17484</v>
      </c>
      <c r="H151" s="6">
        <v>17484</v>
      </c>
      <c r="I151" s="6">
        <v>17484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2:53" x14ac:dyDescent="0.2">
      <c r="C152" t="s">
        <v>3</v>
      </c>
      <c r="G152" s="5" t="s">
        <v>92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2:53" x14ac:dyDescent="0.2">
      <c r="B154" s="3" t="s">
        <v>20</v>
      </c>
      <c r="C154" s="3" t="s">
        <v>22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2:53" x14ac:dyDescent="0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53" hidden="1" x14ac:dyDescent="0.2">
      <c r="C156" t="s">
        <v>120</v>
      </c>
      <c r="G156" s="10">
        <f>9559+28750+2150</f>
        <v>40459</v>
      </c>
      <c r="H156" s="10">
        <f>9558+25300+2106</f>
        <v>36964</v>
      </c>
      <c r="I156" s="10">
        <f>7142+20700+1679</f>
        <v>29521</v>
      </c>
      <c r="J156" s="10">
        <f>27920+214</f>
        <v>28134</v>
      </c>
      <c r="K156" s="10">
        <f>10224+42</f>
        <v>10266</v>
      </c>
      <c r="L156" s="10">
        <f>7147+10</f>
        <v>7157</v>
      </c>
      <c r="M156" s="10">
        <f>6461+6</f>
        <v>6467</v>
      </c>
      <c r="N156" s="10">
        <f>6380+7</f>
        <v>6387</v>
      </c>
      <c r="O156" s="10">
        <f>6639+8</f>
        <v>6647</v>
      </c>
      <c r="P156" s="10">
        <f>9197+13</f>
        <v>9210</v>
      </c>
      <c r="Q156" s="10">
        <f>5915+34</f>
        <v>5949</v>
      </c>
      <c r="R156" s="10">
        <f>7712+112</f>
        <v>7824</v>
      </c>
      <c r="S156" s="10">
        <f>10562+184</f>
        <v>10746</v>
      </c>
      <c r="T156" s="10">
        <f>9739+184</f>
        <v>9923</v>
      </c>
      <c r="U156" s="10">
        <f>7970+184</f>
        <v>8154</v>
      </c>
      <c r="V156" s="6"/>
      <c r="W156" s="6"/>
      <c r="X156" s="6"/>
      <c r="Y156" s="6"/>
    </row>
    <row r="157" spans="2:53" s="7" customFormat="1" x14ac:dyDescent="0.2">
      <c r="C157" t="s">
        <v>120</v>
      </c>
      <c r="G157" s="10">
        <v>1481</v>
      </c>
      <c r="H157" s="10">
        <v>1369</v>
      </c>
      <c r="I157" s="10">
        <v>1045</v>
      </c>
      <c r="J157" s="10">
        <v>800</v>
      </c>
      <c r="K157" s="10">
        <v>481</v>
      </c>
      <c r="L157" s="10">
        <v>263</v>
      </c>
      <c r="M157" s="10">
        <v>139</v>
      </c>
      <c r="N157" s="10">
        <v>158</v>
      </c>
      <c r="O157" s="10">
        <v>250</v>
      </c>
      <c r="P157" s="10">
        <v>509</v>
      </c>
      <c r="Q157" s="10">
        <v>212</v>
      </c>
      <c r="R157" s="10">
        <v>272</v>
      </c>
      <c r="S157" s="10">
        <v>336</v>
      </c>
      <c r="T157" s="10">
        <v>342</v>
      </c>
      <c r="U157" s="10">
        <v>251</v>
      </c>
      <c r="V157" s="6"/>
      <c r="W157" s="6"/>
      <c r="X157" s="6"/>
      <c r="Y157" s="6"/>
    </row>
    <row r="158" spans="2:53" x14ac:dyDescent="0.2">
      <c r="C158" t="s">
        <v>114</v>
      </c>
      <c r="G158" s="10">
        <v>5100</v>
      </c>
      <c r="H158" s="10">
        <v>5100</v>
      </c>
      <c r="I158" s="10">
        <v>5100</v>
      </c>
      <c r="J158" s="10">
        <v>5100</v>
      </c>
      <c r="K158" s="10">
        <v>5100</v>
      </c>
      <c r="L158" s="10">
        <v>5100</v>
      </c>
      <c r="M158" s="10">
        <v>5100</v>
      </c>
      <c r="N158" s="10">
        <v>5100</v>
      </c>
      <c r="O158" s="10">
        <v>4500</v>
      </c>
      <c r="P158" s="10">
        <v>4500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6"/>
      <c r="W158" s="6"/>
      <c r="X158" s="6"/>
      <c r="Y158" s="6"/>
    </row>
    <row r="159" spans="2:53" hidden="1" x14ac:dyDescent="0.2">
      <c r="C159" t="s">
        <v>121</v>
      </c>
      <c r="G159" s="10">
        <v>169215</v>
      </c>
      <c r="H159" s="10">
        <v>148000</v>
      </c>
      <c r="I159" s="10">
        <v>115324</v>
      </c>
      <c r="J159" s="10">
        <v>70931</v>
      </c>
      <c r="K159" s="10">
        <v>35159</v>
      </c>
      <c r="L159" s="10">
        <v>17483</v>
      </c>
      <c r="M159" s="10">
        <v>16420</v>
      </c>
      <c r="N159" s="10">
        <v>16564</v>
      </c>
      <c r="O159" s="10">
        <v>20955</v>
      </c>
      <c r="P159" s="10">
        <v>34635</v>
      </c>
      <c r="Q159" s="10">
        <v>38127</v>
      </c>
      <c r="R159" s="10">
        <v>51382</v>
      </c>
      <c r="S159" s="10">
        <v>23626</v>
      </c>
      <c r="T159" s="10">
        <v>10450</v>
      </c>
      <c r="U159" s="10">
        <v>4658</v>
      </c>
      <c r="V159" s="6"/>
      <c r="W159" s="6"/>
      <c r="X159" s="6"/>
      <c r="Y159" s="6"/>
    </row>
    <row r="160" spans="2:53" s="7" customFormat="1" x14ac:dyDescent="0.2">
      <c r="C160" t="s">
        <v>121</v>
      </c>
      <c r="G160" s="10">
        <v>2061</v>
      </c>
      <c r="H160" s="10">
        <v>2352</v>
      </c>
      <c r="I160" s="10">
        <v>1679</v>
      </c>
      <c r="J160" s="10">
        <f>J159/30</f>
        <v>2364.3666666666668</v>
      </c>
      <c r="K160" s="10">
        <f>K159/31</f>
        <v>1134.1612903225807</v>
      </c>
      <c r="L160" s="10">
        <f>L159/30</f>
        <v>582.76666666666665</v>
      </c>
      <c r="M160" s="10">
        <f>M159/31</f>
        <v>529.67741935483866</v>
      </c>
      <c r="N160" s="10">
        <f>N159/31</f>
        <v>534.32258064516134</v>
      </c>
      <c r="O160" s="10">
        <f>O159/30</f>
        <v>698.5</v>
      </c>
      <c r="P160" s="10">
        <f>P159/31</f>
        <v>1117.258064516129</v>
      </c>
      <c r="Q160" s="10">
        <f>Q159/30</f>
        <v>1270.9000000000001</v>
      </c>
      <c r="R160" s="10">
        <f>R159/31</f>
        <v>1657.483870967742</v>
      </c>
      <c r="S160" s="10">
        <f>S159/31</f>
        <v>762.12903225806451</v>
      </c>
      <c r="T160" s="10">
        <f>T159/28</f>
        <v>373.21428571428572</v>
      </c>
      <c r="U160" s="10">
        <f>U159/31</f>
        <v>150.25806451612902</v>
      </c>
      <c r="V160" s="6"/>
      <c r="W160" s="6"/>
      <c r="X160" s="6"/>
      <c r="Y160" s="6"/>
    </row>
    <row r="161" spans="2:25" x14ac:dyDescent="0.2">
      <c r="C161" t="s">
        <v>114</v>
      </c>
      <c r="G161" s="6">
        <v>8046</v>
      </c>
      <c r="H161" s="6">
        <v>8046</v>
      </c>
      <c r="I161" s="6">
        <v>8046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/>
      <c r="W161" s="6"/>
      <c r="X161" s="6"/>
      <c r="Y161" s="6"/>
    </row>
    <row r="162" spans="2:25" x14ac:dyDescent="0.2">
      <c r="C162" t="s">
        <v>3</v>
      </c>
      <c r="G162" s="5" t="s">
        <v>93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5" x14ac:dyDescent="0.2">
      <c r="B164" s="3" t="s">
        <v>23</v>
      </c>
      <c r="C164" s="3" t="s">
        <v>94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2:25" x14ac:dyDescent="0.2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2:25" x14ac:dyDescent="0.2">
      <c r="C166" t="s">
        <v>120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5" x14ac:dyDescent="0.2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5" x14ac:dyDescent="0.2">
      <c r="C168" t="s">
        <v>121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</row>
    <row r="169" spans="2:25" x14ac:dyDescent="0.2">
      <c r="C169" t="s">
        <v>114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2:25" x14ac:dyDescent="0.2">
      <c r="C170" t="s">
        <v>3</v>
      </c>
      <c r="G170" s="5" t="s">
        <v>95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5" x14ac:dyDescent="0.2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5" x14ac:dyDescent="0.2">
      <c r="B172" s="3" t="s">
        <v>23</v>
      </c>
      <c r="C172" s="3" t="s">
        <v>24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2:25" x14ac:dyDescent="0.2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2:25" hidden="1" x14ac:dyDescent="0.2">
      <c r="C174" t="s">
        <v>120</v>
      </c>
      <c r="G174" s="8">
        <v>4517</v>
      </c>
      <c r="H174" s="8">
        <v>4454</v>
      </c>
      <c r="I174" s="8">
        <v>4779</v>
      </c>
      <c r="J174" s="8">
        <v>3354</v>
      </c>
      <c r="K174" s="8">
        <v>3183</v>
      </c>
      <c r="L174" s="8">
        <v>2165</v>
      </c>
      <c r="M174" s="8">
        <v>1298</v>
      </c>
      <c r="N174" s="8">
        <v>1753</v>
      </c>
      <c r="O174" s="8">
        <v>2050</v>
      </c>
      <c r="P174" s="8">
        <v>3137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5" s="7" customFormat="1" x14ac:dyDescent="0.2">
      <c r="C175" t="s">
        <v>120</v>
      </c>
      <c r="G175" s="9">
        <f>G174/31</f>
        <v>145.70967741935485</v>
      </c>
      <c r="H175" s="9">
        <f>H174/29</f>
        <v>153.58620689655172</v>
      </c>
      <c r="I175" s="9">
        <f>I174/31</f>
        <v>154.16129032258064</v>
      </c>
      <c r="J175" s="9">
        <f>J174/30</f>
        <v>111.8</v>
      </c>
      <c r="K175" s="9">
        <f>K174/31</f>
        <v>102.6774193548387</v>
      </c>
      <c r="L175" s="9">
        <f>L174/30</f>
        <v>72.166666666666671</v>
      </c>
      <c r="M175" s="9">
        <f>M174/31</f>
        <v>41.87096774193548</v>
      </c>
      <c r="N175" s="9">
        <f>N174/31</f>
        <v>56.548387096774192</v>
      </c>
      <c r="O175" s="9">
        <f>O174/30</f>
        <v>68.333333333333329</v>
      </c>
      <c r="P175" s="9">
        <f>P174/31</f>
        <v>101.19354838709677</v>
      </c>
      <c r="Q175" s="9">
        <f>Q174/30</f>
        <v>0</v>
      </c>
      <c r="R175" s="9">
        <f>R174/31</f>
        <v>0</v>
      </c>
      <c r="S175" s="9">
        <f>S174/31</f>
        <v>0</v>
      </c>
      <c r="T175" s="9">
        <f>T174/28</f>
        <v>0</v>
      </c>
      <c r="U175" s="9">
        <f>U174/31</f>
        <v>0</v>
      </c>
    </row>
    <row r="176" spans="2:25" x14ac:dyDescent="0.2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">
      <c r="C177" t="s">
        <v>121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</row>
    <row r="178" spans="2:55" x14ac:dyDescent="0.2">
      <c r="C178" t="s">
        <v>114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</row>
    <row r="179" spans="2:55" x14ac:dyDescent="0.2">
      <c r="C179" t="s">
        <v>3</v>
      </c>
      <c r="G179" s="5" t="s">
        <v>96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2:55" x14ac:dyDescent="0.2">
      <c r="B181" s="3" t="s">
        <v>23</v>
      </c>
      <c r="C181" s="3" t="s">
        <v>25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2:55" x14ac:dyDescent="0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hidden="1" x14ac:dyDescent="0.2">
      <c r="C183" t="s">
        <v>120</v>
      </c>
      <c r="G183" s="10">
        <v>44543</v>
      </c>
      <c r="H183" s="10">
        <v>38481</v>
      </c>
      <c r="I183" s="10">
        <v>35650</v>
      </c>
      <c r="J183" s="10">
        <v>32650</v>
      </c>
      <c r="K183" s="10">
        <v>21505</v>
      </c>
      <c r="L183" s="10">
        <v>17059</v>
      </c>
      <c r="M183" s="10">
        <v>16152</v>
      </c>
      <c r="N183" s="10">
        <v>12865</v>
      </c>
      <c r="O183" s="10">
        <v>12360</v>
      </c>
      <c r="P183" s="10">
        <v>4525</v>
      </c>
      <c r="Q183" s="10">
        <v>3734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s="7" customFormat="1" x14ac:dyDescent="0.2">
      <c r="C184" t="s">
        <v>120</v>
      </c>
      <c r="G184" s="10">
        <f>G183/31</f>
        <v>1436.8709677419354</v>
      </c>
      <c r="H184" s="10">
        <f>H183/29</f>
        <v>1326.9310344827586</v>
      </c>
      <c r="I184" s="10">
        <f>I183/31</f>
        <v>1150</v>
      </c>
      <c r="J184" s="10">
        <f>J183/30</f>
        <v>1088.3333333333333</v>
      </c>
      <c r="K184" s="10">
        <f>K183/31</f>
        <v>693.70967741935488</v>
      </c>
      <c r="L184" s="10">
        <f>L183/30</f>
        <v>568.63333333333333</v>
      </c>
      <c r="M184" s="10">
        <f>M183/31</f>
        <v>521.0322580645161</v>
      </c>
      <c r="N184" s="10">
        <f>N183/31</f>
        <v>415</v>
      </c>
      <c r="O184" s="10">
        <f>O183/30</f>
        <v>412</v>
      </c>
      <c r="P184" s="10">
        <f>P183/31</f>
        <v>145.96774193548387</v>
      </c>
      <c r="Q184" s="10">
        <f>Q183/30</f>
        <v>124.46666666666667</v>
      </c>
      <c r="R184" s="10">
        <f>R183/31</f>
        <v>0</v>
      </c>
      <c r="S184" s="10">
        <f>S183/31</f>
        <v>0</v>
      </c>
      <c r="T184" s="10">
        <f>T183/28</f>
        <v>0</v>
      </c>
      <c r="U184" s="10">
        <f>U183/31</f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">
      <c r="C186" t="s">
        <v>121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2:55" x14ac:dyDescent="0.2">
      <c r="C187" t="s">
        <v>114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2:55" x14ac:dyDescent="0.2">
      <c r="C188" t="s">
        <v>3</v>
      </c>
      <c r="G188" s="5" t="s">
        <v>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">
      <c r="B190" s="3" t="s">
        <v>23</v>
      </c>
      <c r="C190" s="3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2:55" x14ac:dyDescent="0.2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2:55" x14ac:dyDescent="0.2">
      <c r="C192" t="s">
        <v>120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">
      <c r="C194" t="s">
        <v>121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2:25" x14ac:dyDescent="0.2">
      <c r="C195" t="s">
        <v>114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</row>
    <row r="196" spans="2:25" x14ac:dyDescent="0.2">
      <c r="C196" t="s">
        <v>3</v>
      </c>
      <c r="G196" s="5" t="s">
        <v>97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">
      <c r="B198" s="3" t="s">
        <v>23</v>
      </c>
      <c r="C198" s="3" t="s">
        <v>27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2:25" x14ac:dyDescent="0.2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2:25" x14ac:dyDescent="0.2">
      <c r="C200" t="s">
        <v>120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">
      <c r="C202" t="s">
        <v>121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</row>
    <row r="203" spans="2:25" x14ac:dyDescent="0.2">
      <c r="C203" t="s">
        <v>114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</row>
    <row r="204" spans="2:25" x14ac:dyDescent="0.2">
      <c r="C204" t="s">
        <v>3</v>
      </c>
      <c r="G204" s="5" t="s">
        <v>97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2:25" x14ac:dyDescent="0.2">
      <c r="B206" s="3" t="s">
        <v>28</v>
      </c>
      <c r="C206" s="3" t="s">
        <v>29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2:25" x14ac:dyDescent="0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idden="1" x14ac:dyDescent="0.2">
      <c r="C208" t="s">
        <v>120</v>
      </c>
      <c r="G208" s="10">
        <f>933695+110000+1227</f>
        <v>1044922</v>
      </c>
      <c r="H208" s="10">
        <f>851060+50000+1485</f>
        <v>902545</v>
      </c>
      <c r="I208" s="10">
        <f>714231+1813</f>
        <v>716044</v>
      </c>
      <c r="J208" s="10">
        <f>83209+1808</f>
        <v>85017</v>
      </c>
      <c r="K208" s="10">
        <f>62009+2313</f>
        <v>64322</v>
      </c>
      <c r="L208" s="10">
        <f>41414+2505</f>
        <v>43919</v>
      </c>
      <c r="M208" s="10">
        <f>37153+2033</f>
        <v>39186</v>
      </c>
      <c r="N208" s="10">
        <f>36147+2327</f>
        <v>38474</v>
      </c>
      <c r="O208" s="10">
        <f>38788+1777</f>
        <v>40565</v>
      </c>
      <c r="P208" s="10">
        <f>49564+1760</f>
        <v>51324</v>
      </c>
      <c r="Q208" s="10">
        <f>62257+1273</f>
        <v>63530</v>
      </c>
      <c r="R208" s="10">
        <f>65314+1465</f>
        <v>66779</v>
      </c>
      <c r="S208" s="10">
        <v>50186</v>
      </c>
      <c r="T208" s="10">
        <v>44952</v>
      </c>
      <c r="U208" s="10">
        <v>27317</v>
      </c>
      <c r="V208" s="6"/>
      <c r="W208" s="6"/>
      <c r="X208" s="6"/>
      <c r="Y208" s="6"/>
    </row>
    <row r="209" spans="2:51" s="7" customFormat="1" x14ac:dyDescent="0.2">
      <c r="C209" t="s">
        <v>120</v>
      </c>
      <c r="G209" s="10">
        <v>32816</v>
      </c>
      <c r="H209" s="10">
        <v>32265</v>
      </c>
      <c r="I209" s="10">
        <v>24273</v>
      </c>
      <c r="J209" s="10">
        <v>2988</v>
      </c>
      <c r="K209" s="10">
        <v>2192</v>
      </c>
      <c r="L209" s="10">
        <v>1567</v>
      </c>
      <c r="M209" s="10">
        <v>1363</v>
      </c>
      <c r="N209" s="10">
        <v>1275</v>
      </c>
      <c r="O209" s="10">
        <v>1389</v>
      </c>
      <c r="P209" s="10">
        <v>1710</v>
      </c>
      <c r="Q209" s="10">
        <v>2237</v>
      </c>
      <c r="R209" s="10">
        <v>2234</v>
      </c>
      <c r="S209" s="10">
        <v>1651</v>
      </c>
      <c r="T209" s="10">
        <v>1633</v>
      </c>
      <c r="U209" s="10">
        <v>904</v>
      </c>
      <c r="V209" s="6"/>
      <c r="W209" s="6"/>
      <c r="X209" s="6"/>
      <c r="Y209" s="6"/>
    </row>
    <row r="210" spans="2:51" x14ac:dyDescent="0.2">
      <c r="C210" t="s">
        <v>133</v>
      </c>
      <c r="G210" s="6">
        <v>20000</v>
      </c>
      <c r="H210" s="6">
        <v>20000</v>
      </c>
      <c r="I210" s="6">
        <v>20000</v>
      </c>
      <c r="J210" s="6">
        <v>20000</v>
      </c>
      <c r="K210" s="6">
        <v>20000</v>
      </c>
      <c r="L210" s="6">
        <v>20000</v>
      </c>
      <c r="M210" s="6">
        <v>20000</v>
      </c>
      <c r="N210" s="6">
        <v>20000</v>
      </c>
      <c r="O210" s="6">
        <v>20000</v>
      </c>
      <c r="P210" s="6">
        <v>20000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/>
      <c r="W210" s="6"/>
      <c r="X210" s="6"/>
      <c r="Y210" s="6"/>
    </row>
    <row r="211" spans="2:51" hidden="1" x14ac:dyDescent="0.2">
      <c r="C211" t="s">
        <v>121</v>
      </c>
      <c r="G211" s="10">
        <v>839929</v>
      </c>
      <c r="H211" s="10">
        <v>734352</v>
      </c>
      <c r="I211" s="10">
        <v>572126</v>
      </c>
      <c r="J211" s="10">
        <v>352049</v>
      </c>
      <c r="K211" s="10">
        <v>174497</v>
      </c>
      <c r="L211" s="10">
        <v>86583</v>
      </c>
      <c r="M211" s="10">
        <v>81457</v>
      </c>
      <c r="N211" s="10">
        <v>82183</v>
      </c>
      <c r="O211" s="10">
        <v>104049</v>
      </c>
      <c r="P211" s="10">
        <v>171683</v>
      </c>
      <c r="Q211" s="10">
        <v>188654</v>
      </c>
      <c r="R211" s="10">
        <v>254229</v>
      </c>
      <c r="S211" s="10">
        <v>115944</v>
      </c>
      <c r="T211" s="10">
        <v>50912</v>
      </c>
      <c r="U211" s="10">
        <v>22473</v>
      </c>
      <c r="V211" s="6"/>
      <c r="W211" s="6"/>
      <c r="X211" s="6"/>
      <c r="Y211" s="6"/>
    </row>
    <row r="212" spans="2:51" s="7" customFormat="1" x14ac:dyDescent="0.2">
      <c r="C212" t="s">
        <v>121</v>
      </c>
      <c r="G212" s="10">
        <v>10231</v>
      </c>
      <c r="H212" s="10">
        <v>11669</v>
      </c>
      <c r="I212" s="10">
        <v>8329</v>
      </c>
      <c r="J212" s="10">
        <f>J211/30</f>
        <v>11734.966666666667</v>
      </c>
      <c r="K212" s="10">
        <f>K211/31</f>
        <v>5628.9354838709678</v>
      </c>
      <c r="L212" s="10">
        <f>L211/30</f>
        <v>2886.1</v>
      </c>
      <c r="M212" s="10">
        <f>M211/31</f>
        <v>2627.6451612903224</v>
      </c>
      <c r="N212" s="10">
        <f>N211/31</f>
        <v>2651.0645161290322</v>
      </c>
      <c r="O212" s="10">
        <f>O211/30</f>
        <v>3468.3</v>
      </c>
      <c r="P212" s="10">
        <f>P211/31</f>
        <v>5538.1612903225805</v>
      </c>
      <c r="Q212" s="10">
        <f>Q211/30</f>
        <v>6288.4666666666662</v>
      </c>
      <c r="R212" s="10">
        <f>R211/31</f>
        <v>8200.9354838709678</v>
      </c>
      <c r="S212" s="10">
        <f>S211/31</f>
        <v>3740.1290322580644</v>
      </c>
      <c r="T212" s="10">
        <f>T211/28</f>
        <v>1818.2857142857142</v>
      </c>
      <c r="U212" s="10">
        <f>U211/31</f>
        <v>724.93548387096769</v>
      </c>
      <c r="V212" s="6"/>
      <c r="W212" s="6"/>
      <c r="X212" s="6"/>
      <c r="Y212" s="6"/>
    </row>
    <row r="213" spans="2:51" x14ac:dyDescent="0.2">
      <c r="C213" t="s">
        <v>114</v>
      </c>
      <c r="G213" s="6">
        <v>30340</v>
      </c>
      <c r="H213" s="6">
        <v>30340</v>
      </c>
      <c r="I213" s="6">
        <v>30340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/>
      <c r="W213" s="6"/>
      <c r="X213" s="6"/>
      <c r="Y213" s="6"/>
    </row>
    <row r="214" spans="2:51" x14ac:dyDescent="0.2">
      <c r="C214" t="s">
        <v>3</v>
      </c>
      <c r="G214" s="5" t="s">
        <v>98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2:51" x14ac:dyDescent="0.2">
      <c r="B216" s="3" t="s">
        <v>28</v>
      </c>
      <c r="C216" s="3" t="s">
        <v>30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2:51" x14ac:dyDescent="0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hidden="1" x14ac:dyDescent="0.2">
      <c r="C218" t="s">
        <v>120</v>
      </c>
      <c r="G218" s="10">
        <f>151828+7408</f>
        <v>159236</v>
      </c>
      <c r="H218" s="10">
        <f>132071+5480</f>
        <v>137551</v>
      </c>
      <c r="I218" s="10">
        <f>107860+5354</f>
        <v>113214</v>
      </c>
      <c r="J218" s="10">
        <f>20516+3040</f>
        <v>23556</v>
      </c>
      <c r="K218" s="10">
        <f>19033+1988</f>
        <v>21021</v>
      </c>
      <c r="L218" s="10">
        <f>2364+769</f>
        <v>3133</v>
      </c>
      <c r="M218" s="10">
        <f>2190+232</f>
        <v>2422</v>
      </c>
      <c r="N218" s="10">
        <f>2133+223</f>
        <v>2356</v>
      </c>
      <c r="O218" s="10">
        <f>2132+185</f>
        <v>2317</v>
      </c>
      <c r="P218" s="10">
        <f>3033+353</f>
        <v>3386</v>
      </c>
      <c r="Q218" s="10">
        <f>1944+953</f>
        <v>2897</v>
      </c>
      <c r="R218" s="10">
        <f>595+1218</f>
        <v>1813</v>
      </c>
      <c r="S218" s="10">
        <f>862+2374</f>
        <v>3236</v>
      </c>
      <c r="T218" s="10">
        <f>551+1898</f>
        <v>2449</v>
      </c>
      <c r="U218" s="10">
        <f>38+1625</f>
        <v>1663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s="7" customFormat="1" x14ac:dyDescent="0.2">
      <c r="C219" t="s">
        <v>120</v>
      </c>
      <c r="G219" s="10">
        <v>5495</v>
      </c>
      <c r="H219" s="10">
        <v>748</v>
      </c>
      <c r="I219" s="10">
        <v>4793</v>
      </c>
      <c r="J219" s="10">
        <v>836</v>
      </c>
      <c r="K219" s="10">
        <v>728</v>
      </c>
      <c r="L219" s="10">
        <v>154</v>
      </c>
      <c r="M219" s="10">
        <v>223</v>
      </c>
      <c r="N219" s="10">
        <v>221</v>
      </c>
      <c r="O219" s="10">
        <v>127</v>
      </c>
      <c r="P219" s="10">
        <v>158</v>
      </c>
      <c r="Q219" s="10">
        <f>Q218/30</f>
        <v>96.566666666666663</v>
      </c>
      <c r="R219" s="10">
        <f>R218/31</f>
        <v>58.483870967741936</v>
      </c>
      <c r="S219" s="10">
        <f>S218/31</f>
        <v>104.38709677419355</v>
      </c>
      <c r="T219" s="10">
        <f>T218/28</f>
        <v>87.464285714285708</v>
      </c>
      <c r="U219" s="10">
        <f>U218/31</f>
        <v>53.645161290322584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x14ac:dyDescent="0.2">
      <c r="C220" t="s">
        <v>134</v>
      </c>
      <c r="G220" s="6">
        <v>2200</v>
      </c>
      <c r="H220" s="6">
        <v>2200</v>
      </c>
      <c r="I220" s="6">
        <v>2200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hidden="1" x14ac:dyDescent="0.2">
      <c r="C221" t="s">
        <v>121</v>
      </c>
      <c r="G221" s="10">
        <v>124067</v>
      </c>
      <c r="H221" s="10">
        <v>108578</v>
      </c>
      <c r="I221" s="10">
        <v>84629</v>
      </c>
      <c r="J221" s="10">
        <v>52014</v>
      </c>
      <c r="K221" s="10">
        <v>25784</v>
      </c>
      <c r="L221" s="10">
        <v>12866</v>
      </c>
      <c r="M221" s="10">
        <v>12050</v>
      </c>
      <c r="N221" s="10">
        <v>12154</v>
      </c>
      <c r="O221" s="10">
        <v>15355</v>
      </c>
      <c r="P221" s="10">
        <v>25451</v>
      </c>
      <c r="Q221" s="10">
        <v>28100</v>
      </c>
      <c r="R221" s="10">
        <v>37870</v>
      </c>
      <c r="S221" s="10">
        <v>17645</v>
      </c>
      <c r="T221" s="10">
        <v>7894</v>
      </c>
      <c r="U221" s="10">
        <v>3572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s="7" customFormat="1" x14ac:dyDescent="0.2">
      <c r="C222" t="s">
        <v>121</v>
      </c>
      <c r="G222" s="10">
        <v>1511</v>
      </c>
      <c r="H222" s="10">
        <v>1725</v>
      </c>
      <c r="I222" s="10">
        <v>1232</v>
      </c>
      <c r="J222" s="10">
        <f>J221/30</f>
        <v>1733.8</v>
      </c>
      <c r="K222" s="10">
        <f>K221/31</f>
        <v>831.74193548387098</v>
      </c>
      <c r="L222" s="10">
        <f>L221/30</f>
        <v>428.86666666666667</v>
      </c>
      <c r="M222" s="10">
        <f>M221/31</f>
        <v>388.70967741935482</v>
      </c>
      <c r="N222" s="10">
        <f>N221/31</f>
        <v>392.06451612903226</v>
      </c>
      <c r="O222" s="10">
        <f>O221/30</f>
        <v>511.83333333333331</v>
      </c>
      <c r="P222" s="10">
        <f>P221/31</f>
        <v>821</v>
      </c>
      <c r="Q222" s="10">
        <f>Q221/30</f>
        <v>936.66666666666663</v>
      </c>
      <c r="R222" s="10">
        <f>R221/31</f>
        <v>1221.6129032258063</v>
      </c>
      <c r="S222" s="10">
        <f>S221/31</f>
        <v>569.19354838709683</v>
      </c>
      <c r="T222" s="10">
        <f>T221/28</f>
        <v>281.92857142857144</v>
      </c>
      <c r="U222" s="10">
        <f>U221/31</f>
        <v>115.2258064516129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2:51" x14ac:dyDescent="0.2">
      <c r="C223" t="s">
        <v>114</v>
      </c>
      <c r="G223" s="6">
        <v>6104</v>
      </c>
      <c r="H223" s="6">
        <v>6104</v>
      </c>
      <c r="I223" s="6">
        <v>6104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2:51" x14ac:dyDescent="0.2">
      <c r="C224" t="s">
        <v>3</v>
      </c>
      <c r="G224" s="5" t="s">
        <v>99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2:61" x14ac:dyDescent="0.2">
      <c r="B226" s="3" t="s">
        <v>28</v>
      </c>
      <c r="C226" s="3" t="s">
        <v>31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2:61" x14ac:dyDescent="0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hidden="1" x14ac:dyDescent="0.2">
      <c r="C228" t="s">
        <v>120</v>
      </c>
      <c r="G228" s="10">
        <f>67229+5487+20000</f>
        <v>92716</v>
      </c>
      <c r="H228" s="10">
        <f>666318+6046+18000</f>
        <v>690364</v>
      </c>
      <c r="I228" s="10">
        <f>63233+5651+20000</f>
        <v>88884</v>
      </c>
      <c r="J228" s="10">
        <f>44588+4072+19000</f>
        <v>67660</v>
      </c>
      <c r="K228" s="10">
        <f>39394+2462</f>
        <v>41856</v>
      </c>
      <c r="L228" s="10">
        <v>38398</v>
      </c>
      <c r="M228" s="10">
        <v>37997</v>
      </c>
      <c r="N228" s="10">
        <v>38369</v>
      </c>
      <c r="O228" s="10">
        <v>38661</v>
      </c>
      <c r="P228" s="10">
        <v>38342</v>
      </c>
      <c r="Q228" s="10">
        <v>38668</v>
      </c>
      <c r="R228" s="10">
        <v>1498</v>
      </c>
      <c r="S228" s="10">
        <v>2451</v>
      </c>
      <c r="T228" s="10">
        <v>1443</v>
      </c>
      <c r="U228" s="6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s="7" customFormat="1" x14ac:dyDescent="0.2">
      <c r="C229" t="s">
        <v>120</v>
      </c>
      <c r="G229" s="10">
        <v>4166</v>
      </c>
      <c r="H229" s="10">
        <v>4300</v>
      </c>
      <c r="I229" s="10">
        <v>3959</v>
      </c>
      <c r="J229" s="10">
        <f>J228/30</f>
        <v>2255.3333333333335</v>
      </c>
      <c r="K229" s="10">
        <f>K228/31</f>
        <v>1350.1935483870968</v>
      </c>
      <c r="L229" s="10">
        <f>L228/30</f>
        <v>1279.9333333333334</v>
      </c>
      <c r="M229" s="10">
        <f>M228/31</f>
        <v>1225.7096774193549</v>
      </c>
      <c r="N229" s="10">
        <f>N228/31</f>
        <v>1237.7096774193549</v>
      </c>
      <c r="O229" s="10">
        <f>O228/30</f>
        <v>1288.7</v>
      </c>
      <c r="P229" s="10">
        <f>P228/31</f>
        <v>1236.8387096774193</v>
      </c>
      <c r="Q229" s="10">
        <f>Q228/30</f>
        <v>1288.9333333333334</v>
      </c>
      <c r="R229" s="10">
        <f>R228/31</f>
        <v>48.322580645161288</v>
      </c>
      <c r="S229" s="10">
        <f>S228/31</f>
        <v>79.064516129032256</v>
      </c>
      <c r="T229" s="10">
        <f>T228/28</f>
        <v>51.535714285714285</v>
      </c>
      <c r="U229" s="10">
        <f>U228/31</f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x14ac:dyDescent="0.2">
      <c r="C230" t="s">
        <v>114</v>
      </c>
      <c r="E230" s="15"/>
      <c r="F230" s="15"/>
      <c r="G230" s="16">
        <v>3000</v>
      </c>
      <c r="H230" s="10">
        <v>3000</v>
      </c>
      <c r="I230" s="10">
        <v>3000</v>
      </c>
      <c r="J230" s="10">
        <v>3000</v>
      </c>
      <c r="K230" s="10">
        <v>3000</v>
      </c>
      <c r="L230" s="10">
        <v>3000</v>
      </c>
      <c r="M230" s="10">
        <v>3000</v>
      </c>
      <c r="N230" s="10">
        <v>3000</v>
      </c>
      <c r="O230" s="10">
        <v>3000</v>
      </c>
      <c r="P230" s="10">
        <v>3000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hidden="1" x14ac:dyDescent="0.2">
      <c r="C231" t="s">
        <v>121</v>
      </c>
      <c r="G231" s="10">
        <v>100593</v>
      </c>
      <c r="H231" s="10">
        <v>88287</v>
      </c>
      <c r="I231" s="10">
        <v>68903</v>
      </c>
      <c r="J231" s="10">
        <v>42202</v>
      </c>
      <c r="K231" s="10">
        <v>20926</v>
      </c>
      <c r="L231" s="10">
        <v>10615</v>
      </c>
      <c r="M231" s="10">
        <v>9814</v>
      </c>
      <c r="N231" s="10">
        <v>9888</v>
      </c>
      <c r="O231" s="10">
        <v>12417</v>
      </c>
      <c r="P231" s="10">
        <v>20852</v>
      </c>
      <c r="Q231" s="10">
        <v>23341</v>
      </c>
      <c r="R231" s="10">
        <v>31463</v>
      </c>
      <c r="S231" s="10">
        <v>15546</v>
      </c>
      <c r="T231" s="10">
        <v>7292</v>
      </c>
      <c r="U231" s="6">
        <v>3500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s="7" customFormat="1" x14ac:dyDescent="0.2">
      <c r="C232" t="s">
        <v>121</v>
      </c>
      <c r="G232" s="10">
        <v>1225</v>
      </c>
      <c r="H232" s="10">
        <v>1403</v>
      </c>
      <c r="I232" s="10">
        <v>1003</v>
      </c>
      <c r="J232" s="10">
        <f>J231/30</f>
        <v>1406.7333333333333</v>
      </c>
      <c r="K232" s="10">
        <f>K231/31</f>
        <v>675.0322580645161</v>
      </c>
      <c r="L232" s="10">
        <f>L231/30</f>
        <v>353.83333333333331</v>
      </c>
      <c r="M232" s="10">
        <f>M231/31</f>
        <v>316.58064516129031</v>
      </c>
      <c r="N232" s="10">
        <f>N231/31</f>
        <v>318.96774193548384</v>
      </c>
      <c r="O232" s="10">
        <f>O231/30</f>
        <v>413.9</v>
      </c>
      <c r="P232" s="10">
        <f>P231/31</f>
        <v>672.64516129032256</v>
      </c>
      <c r="Q232" s="10">
        <f>Q231/30</f>
        <v>778.0333333333333</v>
      </c>
      <c r="R232" s="10">
        <f>R231/31</f>
        <v>1014.9354838709677</v>
      </c>
      <c r="S232" s="10">
        <f>S231/31</f>
        <v>501.48387096774195</v>
      </c>
      <c r="T232" s="10">
        <f>T231/28</f>
        <v>260.42857142857144</v>
      </c>
      <c r="U232" s="10">
        <f>U231/31</f>
        <v>112.90322580645162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</row>
    <row r="233" spans="2:61" x14ac:dyDescent="0.2">
      <c r="C233" t="s">
        <v>114</v>
      </c>
      <c r="G233" s="6">
        <v>4833</v>
      </c>
      <c r="H233" s="6">
        <v>4833</v>
      </c>
      <c r="I233" s="6">
        <v>4833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</row>
    <row r="234" spans="2:61" x14ac:dyDescent="0.2">
      <c r="C234" t="s">
        <v>3</v>
      </c>
      <c r="G234" s="5" t="s">
        <v>100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2:61" x14ac:dyDescent="0.2">
      <c r="B236" s="3" t="s">
        <v>28</v>
      </c>
      <c r="C236" s="3" t="s">
        <v>32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2:61" x14ac:dyDescent="0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hidden="1" x14ac:dyDescent="0.2">
      <c r="C238" t="s">
        <v>120</v>
      </c>
      <c r="G238" s="10">
        <v>1109844</v>
      </c>
      <c r="H238" s="10">
        <v>971909</v>
      </c>
      <c r="I238" s="10">
        <v>754978</v>
      </c>
      <c r="J238" s="10">
        <v>92432</v>
      </c>
      <c r="K238" s="10">
        <v>70549</v>
      </c>
      <c r="L238" s="10">
        <v>60066</v>
      </c>
      <c r="M238" s="10">
        <v>55355</v>
      </c>
      <c r="N238" s="10">
        <v>38732</v>
      </c>
      <c r="O238" s="10">
        <v>39098</v>
      </c>
      <c r="P238" s="10">
        <v>47238</v>
      </c>
      <c r="Q238" s="10">
        <v>36927</v>
      </c>
      <c r="R238" s="10">
        <v>40444</v>
      </c>
      <c r="S238" s="10">
        <v>32263</v>
      </c>
      <c r="T238" s="10">
        <v>27259</v>
      </c>
      <c r="U238" s="10">
        <v>25556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s="7" customFormat="1" x14ac:dyDescent="0.2">
      <c r="C239" t="s">
        <v>120</v>
      </c>
      <c r="G239" s="10">
        <v>34218</v>
      </c>
      <c r="H239" s="10">
        <v>30251</v>
      </c>
      <c r="I239" s="10">
        <v>21545</v>
      </c>
      <c r="J239" s="10">
        <v>3404</v>
      </c>
      <c r="K239" s="10">
        <v>2192</v>
      </c>
      <c r="L239" s="10">
        <v>1828</v>
      </c>
      <c r="M239" s="10">
        <v>1466</v>
      </c>
      <c r="N239" s="10">
        <v>1030</v>
      </c>
      <c r="O239" s="10">
        <v>1165</v>
      </c>
      <c r="P239" s="10">
        <v>1392</v>
      </c>
      <c r="Q239" s="10">
        <v>1232</v>
      </c>
      <c r="R239" s="10">
        <v>1268</v>
      </c>
      <c r="S239" s="10">
        <v>980</v>
      </c>
      <c r="T239" s="10">
        <v>921</v>
      </c>
      <c r="U239" s="10">
        <v>779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x14ac:dyDescent="0.2">
      <c r="C240" t="s">
        <v>114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hidden="1" x14ac:dyDescent="0.2">
      <c r="C241" t="s">
        <v>121</v>
      </c>
      <c r="G241" s="10">
        <v>778304</v>
      </c>
      <c r="H241" s="10">
        <v>681991</v>
      </c>
      <c r="I241" s="10">
        <v>528433</v>
      </c>
      <c r="J241" s="10">
        <v>336761</v>
      </c>
      <c r="K241" s="10">
        <v>176805</v>
      </c>
      <c r="L241" s="10">
        <v>89624</v>
      </c>
      <c r="M241" s="10">
        <v>79999</v>
      </c>
      <c r="N241" s="10">
        <v>80202</v>
      </c>
      <c r="O241" s="10">
        <v>99589</v>
      </c>
      <c r="P241" s="10">
        <v>159745</v>
      </c>
      <c r="Q241" s="10">
        <v>159120</v>
      </c>
      <c r="R241" s="10">
        <v>214387</v>
      </c>
      <c r="S241" s="10">
        <v>91401</v>
      </c>
      <c r="T241" s="10">
        <v>37656</v>
      </c>
      <c r="U241" s="10">
        <v>15125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s="7" customFormat="1" x14ac:dyDescent="0.2">
      <c r="C242" t="s">
        <v>121</v>
      </c>
      <c r="G242" s="10">
        <v>9481</v>
      </c>
      <c r="H242" s="10">
        <v>10837</v>
      </c>
      <c r="I242" s="10">
        <v>7693</v>
      </c>
      <c r="J242" s="10">
        <f>J241/30</f>
        <v>11225.366666666667</v>
      </c>
      <c r="K242" s="10">
        <f>K241/31</f>
        <v>5703.3870967741932</v>
      </c>
      <c r="L242" s="10">
        <f>L241/30</f>
        <v>2987.4666666666667</v>
      </c>
      <c r="M242" s="10">
        <f>M241/31</f>
        <v>2580.6129032258063</v>
      </c>
      <c r="N242" s="10">
        <f>N241/31</f>
        <v>2587.1612903225805</v>
      </c>
      <c r="O242" s="10">
        <f>O241/30</f>
        <v>3319.6333333333332</v>
      </c>
      <c r="P242" s="10">
        <f>P241/31</f>
        <v>5153.0645161290322</v>
      </c>
      <c r="Q242" s="10">
        <f>Q241/30</f>
        <v>5304</v>
      </c>
      <c r="R242" s="10">
        <f>R241/31</f>
        <v>6915.7096774193551</v>
      </c>
      <c r="S242" s="10">
        <f>S241/31</f>
        <v>2948.4193548387098</v>
      </c>
      <c r="T242" s="10">
        <f>T241/28</f>
        <v>1344.8571428571429</v>
      </c>
      <c r="U242" s="10">
        <f>U241/31</f>
        <v>487.90322580645159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</row>
    <row r="243" spans="2:61" x14ac:dyDescent="0.2">
      <c r="C243" t="s">
        <v>114</v>
      </c>
      <c r="G243" s="6">
        <v>39070</v>
      </c>
      <c r="H243" s="6">
        <v>39070</v>
      </c>
      <c r="I243" s="6">
        <v>39070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</row>
    <row r="244" spans="2:61" x14ac:dyDescent="0.2">
      <c r="C244" t="s">
        <v>3</v>
      </c>
      <c r="G244" s="5" t="s">
        <v>100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2:61" x14ac:dyDescent="0.2">
      <c r="B246" s="3" t="s">
        <v>28</v>
      </c>
      <c r="C246" s="3" t="s">
        <v>33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2:61" x14ac:dyDescent="0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61" hidden="1" x14ac:dyDescent="0.2">
      <c r="C248" t="s">
        <v>120</v>
      </c>
      <c r="G248" s="10">
        <f>6865+24303</f>
        <v>31168</v>
      </c>
      <c r="H248" s="10">
        <f>7433+21859</f>
        <v>29292</v>
      </c>
      <c r="I248" s="10">
        <f>5792+18398</f>
        <v>24190</v>
      </c>
      <c r="J248" s="10">
        <f>6846+5552</f>
        <v>12398</v>
      </c>
      <c r="K248" s="10">
        <f>4757+2116</f>
        <v>6873</v>
      </c>
      <c r="L248" s="10">
        <f>3212+1222</f>
        <v>4434</v>
      </c>
      <c r="M248" s="10">
        <f>3031+671</f>
        <v>3702</v>
      </c>
      <c r="N248" s="10">
        <f>2985+495</f>
        <v>3480</v>
      </c>
      <c r="O248" s="10">
        <f>3045+405</f>
        <v>3450</v>
      </c>
      <c r="P248" s="10">
        <f>1217+804</f>
        <v>2021</v>
      </c>
      <c r="Q248" s="10">
        <f>685+1056</f>
        <v>1741</v>
      </c>
      <c r="R248" s="10">
        <f>483+2830</f>
        <v>3313</v>
      </c>
      <c r="S248" s="10">
        <f>552+4034</f>
        <v>4586</v>
      </c>
      <c r="T248" s="10">
        <f>438+2537</f>
        <v>2975</v>
      </c>
      <c r="U248" s="10">
        <f>234+2625</f>
        <v>2859</v>
      </c>
      <c r="V248" s="6"/>
      <c r="W248" s="6"/>
      <c r="X248" s="6"/>
      <c r="Y248" s="6"/>
    </row>
    <row r="249" spans="2:61" s="7" customFormat="1" x14ac:dyDescent="0.2">
      <c r="C249" t="s">
        <v>120</v>
      </c>
      <c r="G249" s="10">
        <v>1262</v>
      </c>
      <c r="H249" s="10">
        <v>1252</v>
      </c>
      <c r="I249" s="10">
        <v>1011</v>
      </c>
      <c r="J249" s="10">
        <v>383</v>
      </c>
      <c r="K249" s="10">
        <v>205</v>
      </c>
      <c r="L249" s="10">
        <v>131</v>
      </c>
      <c r="M249" s="10">
        <v>103</v>
      </c>
      <c r="N249" s="10">
        <v>96</v>
      </c>
      <c r="O249" s="10">
        <v>98</v>
      </c>
      <c r="P249" s="10">
        <v>49</v>
      </c>
      <c r="Q249" s="10">
        <f>Q248/30</f>
        <v>58.033333333333331</v>
      </c>
      <c r="R249" s="10">
        <f>R248/31</f>
        <v>106.87096774193549</v>
      </c>
      <c r="S249" s="10">
        <f>S248/31</f>
        <v>147.93548387096774</v>
      </c>
      <c r="T249" s="10">
        <f>T248/28</f>
        <v>106.25</v>
      </c>
      <c r="U249" s="10">
        <f>U248/31</f>
        <v>92.225806451612897</v>
      </c>
      <c r="V249" s="6"/>
      <c r="W249" s="6"/>
      <c r="X249" s="6"/>
      <c r="Y249" s="6"/>
    </row>
    <row r="250" spans="2:61" x14ac:dyDescent="0.2">
      <c r="C250" t="s">
        <v>114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/>
      <c r="W250" s="6"/>
      <c r="X250" s="6"/>
      <c r="Y250" s="6"/>
    </row>
    <row r="251" spans="2:61" hidden="1" x14ac:dyDescent="0.2">
      <c r="C251" t="s">
        <v>121</v>
      </c>
      <c r="G251" s="10">
        <v>132721</v>
      </c>
      <c r="H251" s="10">
        <v>115807</v>
      </c>
      <c r="I251" s="10">
        <v>90142</v>
      </c>
      <c r="J251" s="10">
        <v>55602</v>
      </c>
      <c r="K251" s="10">
        <v>27554</v>
      </c>
      <c r="L251" s="10">
        <v>13514</v>
      </c>
      <c r="M251" s="10">
        <v>12831</v>
      </c>
      <c r="N251" s="10">
        <v>12955</v>
      </c>
      <c r="O251" s="10">
        <v>16472</v>
      </c>
      <c r="P251" s="10">
        <v>26930</v>
      </c>
      <c r="Q251" s="10">
        <v>29299</v>
      </c>
      <c r="R251" s="10">
        <v>39477</v>
      </c>
      <c r="S251" s="10">
        <v>17185</v>
      </c>
      <c r="T251" s="10">
        <v>7227</v>
      </c>
      <c r="U251" s="10">
        <v>2998</v>
      </c>
      <c r="V251" s="6"/>
      <c r="W251" s="6"/>
      <c r="X251" s="6"/>
      <c r="Y251" s="6"/>
    </row>
    <row r="252" spans="2:61" s="7" customFormat="1" x14ac:dyDescent="0.2">
      <c r="C252" t="s">
        <v>121</v>
      </c>
      <c r="G252" s="10">
        <v>1617</v>
      </c>
      <c r="H252" s="10">
        <v>1840</v>
      </c>
      <c r="I252" s="10">
        <v>1312</v>
      </c>
      <c r="J252" s="10">
        <f>J251/30</f>
        <v>1853.4</v>
      </c>
      <c r="K252" s="10">
        <f>K251/31</f>
        <v>888.83870967741939</v>
      </c>
      <c r="L252" s="10">
        <f>L251/30</f>
        <v>450.46666666666664</v>
      </c>
      <c r="M252" s="10">
        <f>M251/31</f>
        <v>413.90322580645159</v>
      </c>
      <c r="N252" s="10">
        <f>N251/31</f>
        <v>417.90322580645159</v>
      </c>
      <c r="O252" s="10">
        <f>O251/30</f>
        <v>549.06666666666672</v>
      </c>
      <c r="P252" s="10">
        <f>P251/31</f>
        <v>868.70967741935488</v>
      </c>
      <c r="Q252" s="10">
        <f>Q251/30</f>
        <v>976.63333333333333</v>
      </c>
      <c r="R252" s="10">
        <f>R251/31</f>
        <v>1273.4516129032259</v>
      </c>
      <c r="S252" s="10">
        <f>S251/31</f>
        <v>554.35483870967744</v>
      </c>
      <c r="T252" s="10">
        <f>T251/28</f>
        <v>258.10714285714283</v>
      </c>
      <c r="U252" s="10">
        <f>U251/31</f>
        <v>96.709677419354833</v>
      </c>
      <c r="V252" s="6"/>
      <c r="W252" s="6"/>
      <c r="X252" s="6"/>
      <c r="Y252" s="6"/>
    </row>
    <row r="253" spans="2:61" x14ac:dyDescent="0.2">
      <c r="C253" t="s">
        <v>114</v>
      </c>
      <c r="G253" s="6">
        <v>6580</v>
      </c>
      <c r="H253" s="6">
        <v>6580</v>
      </c>
      <c r="I253" s="6">
        <v>6580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/>
      <c r="W253" s="6"/>
      <c r="X253" s="6"/>
      <c r="Y253" s="6"/>
    </row>
    <row r="254" spans="2:61" x14ac:dyDescent="0.2">
      <c r="C254" t="s">
        <v>3</v>
      </c>
      <c r="G254" s="5" t="s">
        <v>101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2:61" x14ac:dyDescent="0.2">
      <c r="B256" s="3" t="s">
        <v>28</v>
      </c>
      <c r="C256" s="3" t="s">
        <v>34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2:25" x14ac:dyDescent="0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idden="1" x14ac:dyDescent="0.2">
      <c r="C258" t="s">
        <v>120</v>
      </c>
      <c r="G258" s="10">
        <v>222724</v>
      </c>
      <c r="H258" s="10">
        <v>201032</v>
      </c>
      <c r="I258" s="10">
        <v>167984</v>
      </c>
      <c r="J258" s="10">
        <v>44275</v>
      </c>
      <c r="K258" s="10">
        <v>37715</v>
      </c>
      <c r="L258" s="10">
        <v>22572</v>
      </c>
      <c r="M258" s="10">
        <v>16852</v>
      </c>
      <c r="N258" s="10">
        <v>18854</v>
      </c>
      <c r="O258" s="10">
        <v>18227</v>
      </c>
      <c r="P258" s="10">
        <v>16068</v>
      </c>
      <c r="Q258" s="10">
        <v>27329</v>
      </c>
      <c r="R258" s="10">
        <v>34334</v>
      </c>
      <c r="S258" s="10">
        <v>13265</v>
      </c>
      <c r="T258" s="10">
        <v>13678</v>
      </c>
      <c r="U258" s="10">
        <v>13228</v>
      </c>
      <c r="V258" s="6"/>
      <c r="W258" s="6"/>
      <c r="X258" s="6"/>
      <c r="Y258" s="6"/>
    </row>
    <row r="259" spans="2:25" s="7" customFormat="1" x14ac:dyDescent="0.2">
      <c r="C259" t="s">
        <v>120</v>
      </c>
      <c r="G259" s="10">
        <v>6911</v>
      </c>
      <c r="H259" s="10">
        <v>7058</v>
      </c>
      <c r="I259" s="10">
        <v>5505</v>
      </c>
      <c r="J259" s="10">
        <v>1421</v>
      </c>
      <c r="K259" s="10">
        <v>1184</v>
      </c>
      <c r="L259" s="10">
        <v>740</v>
      </c>
      <c r="M259" s="10">
        <v>542</v>
      </c>
      <c r="N259" s="10">
        <v>612</v>
      </c>
      <c r="O259" s="10">
        <v>614</v>
      </c>
      <c r="P259" s="10">
        <v>504</v>
      </c>
      <c r="Q259" s="10">
        <v>944</v>
      </c>
      <c r="R259" s="10">
        <v>1155</v>
      </c>
      <c r="S259" s="10">
        <v>488</v>
      </c>
      <c r="T259" s="10">
        <v>544</v>
      </c>
      <c r="U259" s="10">
        <v>468</v>
      </c>
      <c r="V259" s="6"/>
      <c r="W259" s="6"/>
      <c r="X259" s="6"/>
      <c r="Y259" s="6"/>
    </row>
    <row r="260" spans="2:25" x14ac:dyDescent="0.2">
      <c r="C260" t="s">
        <v>114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/>
      <c r="W260" s="6"/>
      <c r="X260" s="6"/>
      <c r="Y260" s="6"/>
    </row>
    <row r="261" spans="2:25" hidden="1" x14ac:dyDescent="0.2">
      <c r="C261" t="s">
        <v>121</v>
      </c>
      <c r="G261" s="10">
        <v>145808</v>
      </c>
      <c r="H261" s="10">
        <v>127616</v>
      </c>
      <c r="I261" s="10">
        <v>99472</v>
      </c>
      <c r="J261" s="10">
        <v>61130</v>
      </c>
      <c r="K261" s="10">
        <v>30303</v>
      </c>
      <c r="L261" s="10">
        <v>15129</v>
      </c>
      <c r="M261" s="10">
        <v>14164</v>
      </c>
      <c r="N261" s="10">
        <v>14285</v>
      </c>
      <c r="O261" s="10">
        <v>18044</v>
      </c>
      <c r="P261" s="10">
        <v>29920</v>
      </c>
      <c r="Q261" s="10">
        <v>33050</v>
      </c>
      <c r="R261" s="10">
        <v>44541</v>
      </c>
      <c r="S261" s="10">
        <v>20795</v>
      </c>
      <c r="T261" s="10">
        <v>9319</v>
      </c>
      <c r="U261" s="10">
        <v>4226</v>
      </c>
      <c r="V261" s="6"/>
      <c r="W261" s="6"/>
      <c r="X261" s="6"/>
      <c r="Y261" s="6"/>
    </row>
    <row r="262" spans="2:25" s="7" customFormat="1" x14ac:dyDescent="0.2">
      <c r="C262" t="s">
        <v>121</v>
      </c>
      <c r="G262" s="10">
        <v>1776</v>
      </c>
      <c r="H262" s="10">
        <v>2028</v>
      </c>
      <c r="I262" s="10">
        <v>1448</v>
      </c>
      <c r="J262" s="10">
        <f>J261/30</f>
        <v>2037.6666666666667</v>
      </c>
      <c r="K262" s="10">
        <f>K261/31</f>
        <v>977.51612903225805</v>
      </c>
      <c r="L262" s="10">
        <f>L261/30</f>
        <v>504.3</v>
      </c>
      <c r="M262" s="10">
        <f>M261/31</f>
        <v>456.90322580645159</v>
      </c>
      <c r="N262" s="10">
        <f>N261/31</f>
        <v>460.80645161290323</v>
      </c>
      <c r="O262" s="10">
        <f>O261/30</f>
        <v>601.4666666666667</v>
      </c>
      <c r="P262" s="10">
        <f>P261/31</f>
        <v>965.16129032258061</v>
      </c>
      <c r="Q262" s="10">
        <f>Q261/30</f>
        <v>1101.6666666666667</v>
      </c>
      <c r="R262" s="10">
        <f>R261/31</f>
        <v>1436.8064516129032</v>
      </c>
      <c r="S262" s="10">
        <f>S261/31</f>
        <v>670.80645161290317</v>
      </c>
      <c r="T262" s="10">
        <f>T261/28</f>
        <v>332.82142857142856</v>
      </c>
      <c r="U262" s="10">
        <f>U261/31</f>
        <v>136.32258064516128</v>
      </c>
      <c r="V262" s="6"/>
      <c r="W262" s="6"/>
      <c r="X262" s="6"/>
      <c r="Y262" s="6"/>
    </row>
    <row r="263" spans="2:25" x14ac:dyDescent="0.2">
      <c r="C263" t="s">
        <v>114</v>
      </c>
      <c r="G263" s="6">
        <v>7317</v>
      </c>
      <c r="H263" s="6">
        <v>7317</v>
      </c>
      <c r="I263" s="6">
        <v>7317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/>
      <c r="W263" s="6"/>
      <c r="X263" s="6"/>
      <c r="Y263" s="6"/>
    </row>
    <row r="264" spans="2:25" x14ac:dyDescent="0.2">
      <c r="C264" t="s">
        <v>3</v>
      </c>
      <c r="G264" s="5" t="s">
        <v>102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2:25" x14ac:dyDescent="0.2">
      <c r="B266" s="3" t="s">
        <v>28</v>
      </c>
      <c r="C266" s="3" t="s">
        <v>35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2:25" x14ac:dyDescent="0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5" hidden="1" x14ac:dyDescent="0.2">
      <c r="C268" t="s">
        <v>120</v>
      </c>
      <c r="G268" s="10">
        <f>267012+100000</f>
        <v>367012</v>
      </c>
      <c r="H268" s="10">
        <f>291828+50000</f>
        <v>341828</v>
      </c>
      <c r="I268" s="10">
        <v>299151</v>
      </c>
      <c r="J268" s="10">
        <v>159628</v>
      </c>
      <c r="K268" s="10">
        <v>111260</v>
      </c>
      <c r="L268" s="10">
        <v>109750</v>
      </c>
      <c r="M268" s="10">
        <v>97026</v>
      </c>
      <c r="N268" s="10">
        <v>101044</v>
      </c>
      <c r="O268" s="10">
        <v>101689</v>
      </c>
      <c r="P268" s="10">
        <v>109668</v>
      </c>
      <c r="Q268" s="10">
        <v>10877</v>
      </c>
      <c r="R268" s="10">
        <v>11672</v>
      </c>
      <c r="S268" s="10">
        <v>13011</v>
      </c>
      <c r="T268" s="10">
        <v>9726</v>
      </c>
      <c r="U268" s="10">
        <v>8507</v>
      </c>
      <c r="V268" s="6"/>
      <c r="W268" s="6"/>
      <c r="X268" s="6"/>
    </row>
    <row r="269" spans="2:25" s="7" customFormat="1" x14ac:dyDescent="0.2">
      <c r="C269" t="s">
        <v>120</v>
      </c>
      <c r="G269" s="10">
        <v>10837</v>
      </c>
      <c r="H269" s="10">
        <v>10768</v>
      </c>
      <c r="I269" s="10">
        <v>8759</v>
      </c>
      <c r="J269" s="10">
        <v>4988</v>
      </c>
      <c r="K269" s="10">
        <v>4540</v>
      </c>
      <c r="L269" s="10">
        <v>4617</v>
      </c>
      <c r="M269" s="10">
        <v>4044</v>
      </c>
      <c r="N269" s="10">
        <v>4178</v>
      </c>
      <c r="O269" s="10">
        <v>4006</v>
      </c>
      <c r="P269" s="10">
        <v>3458</v>
      </c>
      <c r="Q269" s="10">
        <v>267</v>
      </c>
      <c r="R269" s="10">
        <v>255</v>
      </c>
      <c r="S269" s="10">
        <v>298</v>
      </c>
      <c r="T269" s="10">
        <v>214</v>
      </c>
      <c r="U269" s="10">
        <v>148</v>
      </c>
      <c r="V269" s="6"/>
      <c r="W269" s="6"/>
      <c r="X269" s="6"/>
    </row>
    <row r="270" spans="2:25" x14ac:dyDescent="0.2">
      <c r="C270" t="s">
        <v>114</v>
      </c>
      <c r="G270" s="6">
        <v>2000</v>
      </c>
      <c r="H270" s="6">
        <v>2000</v>
      </c>
      <c r="I270" s="6">
        <v>2000</v>
      </c>
      <c r="J270" s="6">
        <v>2000</v>
      </c>
      <c r="K270" s="6">
        <v>2000</v>
      </c>
      <c r="L270" s="6">
        <v>2000</v>
      </c>
      <c r="M270" s="6">
        <v>2000</v>
      </c>
      <c r="N270" s="6">
        <v>2000</v>
      </c>
      <c r="O270" s="6">
        <v>2000</v>
      </c>
      <c r="P270" s="6">
        <v>2000</v>
      </c>
      <c r="Q270" s="6">
        <v>2000</v>
      </c>
      <c r="R270" s="6">
        <v>2000</v>
      </c>
      <c r="S270" s="6">
        <v>0</v>
      </c>
      <c r="T270" s="6">
        <v>0</v>
      </c>
      <c r="U270" s="6">
        <v>0</v>
      </c>
      <c r="V270" s="6"/>
      <c r="W270" s="6"/>
      <c r="X270" s="6"/>
    </row>
    <row r="271" spans="2:25" hidden="1" x14ac:dyDescent="0.2">
      <c r="C271" t="s">
        <v>121</v>
      </c>
      <c r="G271" s="10">
        <v>172714</v>
      </c>
      <c r="H271" s="10">
        <v>151457</v>
      </c>
      <c r="I271" s="10">
        <v>118160</v>
      </c>
      <c r="J271" s="10">
        <v>72444</v>
      </c>
      <c r="K271" s="10">
        <v>35919</v>
      </c>
      <c r="L271" s="10">
        <v>18133</v>
      </c>
      <c r="M271" s="10">
        <v>16828</v>
      </c>
      <c r="N271" s="10">
        <v>16961</v>
      </c>
      <c r="O271" s="10">
        <v>21336</v>
      </c>
      <c r="P271" s="10">
        <v>35693</v>
      </c>
      <c r="Q271" s="10">
        <v>39795</v>
      </c>
      <c r="R271" s="10">
        <v>53638</v>
      </c>
      <c r="S271" s="10">
        <v>26067</v>
      </c>
      <c r="T271" s="10">
        <v>12071</v>
      </c>
      <c r="U271" s="10">
        <v>5705</v>
      </c>
      <c r="V271" s="6"/>
      <c r="W271" s="6"/>
      <c r="X271" s="6"/>
    </row>
    <row r="272" spans="2:25" s="7" customFormat="1" x14ac:dyDescent="0.2">
      <c r="C272" t="s">
        <v>121</v>
      </c>
      <c r="G272" s="10">
        <v>2104</v>
      </c>
      <c r="H272" s="10">
        <v>2407</v>
      </c>
      <c r="I272" s="10">
        <v>1720</v>
      </c>
      <c r="J272" s="10">
        <f>J271/30</f>
        <v>2414.8000000000002</v>
      </c>
      <c r="K272" s="10">
        <f>K271/31</f>
        <v>1158.6774193548388</v>
      </c>
      <c r="L272" s="10">
        <f>L271/30</f>
        <v>604.43333333333328</v>
      </c>
      <c r="M272" s="10">
        <f>M271/31</f>
        <v>542.83870967741939</v>
      </c>
      <c r="N272" s="10">
        <f>N271/31</f>
        <v>547.12903225806451</v>
      </c>
      <c r="O272" s="10">
        <f>O271/30</f>
        <v>711.2</v>
      </c>
      <c r="P272" s="10">
        <f>P271/31</f>
        <v>1151.3870967741937</v>
      </c>
      <c r="Q272" s="10">
        <f>Q271/30</f>
        <v>1326.5</v>
      </c>
      <c r="R272" s="10">
        <f>R271/31</f>
        <v>1730.258064516129</v>
      </c>
      <c r="S272" s="10">
        <f>S271/31</f>
        <v>840.87096774193549</v>
      </c>
      <c r="T272" s="10">
        <f>T271/28</f>
        <v>431.10714285714283</v>
      </c>
      <c r="U272" s="10">
        <f>U271/31</f>
        <v>184.03225806451613</v>
      </c>
      <c r="V272" s="6"/>
      <c r="W272" s="6"/>
      <c r="X272" s="6"/>
    </row>
    <row r="273" spans="2:29" x14ac:dyDescent="0.2">
      <c r="C273" t="s">
        <v>114</v>
      </c>
      <c r="G273" s="6">
        <v>8691</v>
      </c>
      <c r="H273" s="6">
        <v>8691</v>
      </c>
      <c r="I273" s="6">
        <v>8691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/>
      <c r="W273" s="6"/>
      <c r="X273" s="6"/>
    </row>
    <row r="274" spans="2:29" x14ac:dyDescent="0.2">
      <c r="C274" t="s">
        <v>3</v>
      </c>
      <c r="G274" s="5" t="s">
        <v>102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2:29" x14ac:dyDescent="0.2">
      <c r="B276" s="3" t="s">
        <v>36</v>
      </c>
      <c r="C276" s="3" t="s">
        <v>37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2:29" x14ac:dyDescent="0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idden="1" x14ac:dyDescent="0.2">
      <c r="C278" t="s">
        <v>120</v>
      </c>
      <c r="G278" s="10">
        <f>30297+3250+279</f>
        <v>33826</v>
      </c>
      <c r="H278" s="10">
        <f>25044+2500+261</f>
        <v>27805</v>
      </c>
      <c r="I278" s="10">
        <f>18609+3340+279</f>
        <v>22228</v>
      </c>
      <c r="J278" s="10">
        <v>23882</v>
      </c>
      <c r="K278" s="10">
        <v>27128</v>
      </c>
      <c r="L278" s="10">
        <v>14670</v>
      </c>
      <c r="M278" s="10">
        <v>13796</v>
      </c>
      <c r="N278" s="10">
        <v>7989</v>
      </c>
      <c r="O278" s="10">
        <v>7739</v>
      </c>
      <c r="P278" s="10">
        <v>7739</v>
      </c>
      <c r="Q278" s="10">
        <v>6009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s="7" customFormat="1" x14ac:dyDescent="0.2">
      <c r="C279" t="s">
        <v>120</v>
      </c>
      <c r="G279" s="10">
        <v>1082</v>
      </c>
      <c r="H279" s="10">
        <v>1041</v>
      </c>
      <c r="I279" s="10">
        <v>772</v>
      </c>
      <c r="J279" s="10">
        <v>686</v>
      </c>
      <c r="K279" s="10">
        <v>740</v>
      </c>
      <c r="L279" s="10">
        <f>L278/30</f>
        <v>489</v>
      </c>
      <c r="M279" s="10">
        <f>M278/31</f>
        <v>445.03225806451616</v>
      </c>
      <c r="N279" s="10">
        <f>N278/31</f>
        <v>257.70967741935482</v>
      </c>
      <c r="O279" s="10">
        <f>O278/30</f>
        <v>257.96666666666664</v>
      </c>
      <c r="P279" s="10">
        <f>P278/31</f>
        <v>249.64516129032259</v>
      </c>
      <c r="Q279" s="10">
        <f>Q278/30</f>
        <v>200.3</v>
      </c>
      <c r="R279" s="10">
        <f>R278/31</f>
        <v>0</v>
      </c>
      <c r="S279" s="10">
        <f>S278/31</f>
        <v>0</v>
      </c>
      <c r="T279" s="10">
        <f>T278/28</f>
        <v>0</v>
      </c>
      <c r="U279" s="10">
        <f>U278/31</f>
        <v>0</v>
      </c>
      <c r="V279" s="6"/>
      <c r="W279" s="6"/>
      <c r="X279" s="6"/>
      <c r="Y279" s="6"/>
      <c r="Z279" s="6"/>
      <c r="AA279" s="6"/>
      <c r="AB279" s="6"/>
      <c r="AC279" s="6"/>
    </row>
    <row r="280" spans="2:29" x14ac:dyDescent="0.2">
      <c r="C280" t="s">
        <v>114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/>
      <c r="W280" s="6"/>
      <c r="X280" s="6"/>
      <c r="Y280" s="6"/>
      <c r="Z280" s="6"/>
      <c r="AA280" s="6"/>
      <c r="AB280" s="6"/>
      <c r="AC280" s="6"/>
    </row>
    <row r="281" spans="2:29" hidden="1" x14ac:dyDescent="0.2">
      <c r="C281" t="s">
        <v>121</v>
      </c>
      <c r="G281" s="10">
        <f>88+1039+1045+129</f>
        <v>2301</v>
      </c>
      <c r="H281" s="10">
        <f>79+937+1044+128</f>
        <v>2188</v>
      </c>
      <c r="I281" s="10">
        <f>82+1035+1044+128</f>
        <v>2289</v>
      </c>
      <c r="J281" s="10">
        <f>78+1001+1044+127</f>
        <v>2250</v>
      </c>
      <c r="K281" s="10">
        <f>79+1019+1044+127</f>
        <v>2269</v>
      </c>
      <c r="L281" s="10">
        <f>77+981+32+126</f>
        <v>1216</v>
      </c>
      <c r="M281" s="10">
        <f>79+1012+32+126</f>
        <v>1249</v>
      </c>
      <c r="N281" s="10">
        <f>79+1007+32+125</f>
        <v>1243</v>
      </c>
      <c r="O281" s="10">
        <f>74+970+32+125</f>
        <v>1201</v>
      </c>
      <c r="P281" s="10">
        <f>76+997+32+124</f>
        <v>1229</v>
      </c>
      <c r="Q281" s="10">
        <f>73+960+32</f>
        <v>1065</v>
      </c>
      <c r="R281" s="10">
        <f>76+775+32</f>
        <v>883</v>
      </c>
      <c r="S281" s="10">
        <f>69+768</f>
        <v>837</v>
      </c>
      <c r="T281" s="10">
        <f>58+690</f>
        <v>748</v>
      </c>
      <c r="U281" s="10">
        <f>63+529</f>
        <v>592</v>
      </c>
      <c r="V281" s="6"/>
      <c r="W281" s="6"/>
      <c r="X281" s="6"/>
      <c r="Y281" s="6"/>
      <c r="Z281" s="6"/>
      <c r="AA281" s="6"/>
      <c r="AB281" s="6"/>
      <c r="AC281" s="6"/>
    </row>
    <row r="282" spans="2:29" s="7" customFormat="1" x14ac:dyDescent="0.2">
      <c r="C282" t="s">
        <v>121</v>
      </c>
      <c r="G282" s="10">
        <f>G281/31</f>
        <v>74.225806451612897</v>
      </c>
      <c r="H282" s="10">
        <v>78</v>
      </c>
      <c r="I282" s="10">
        <f>I281/31</f>
        <v>73.838709677419359</v>
      </c>
      <c r="J282" s="10">
        <f>J281/30</f>
        <v>75</v>
      </c>
      <c r="K282" s="10">
        <f>K281/31</f>
        <v>73.193548387096769</v>
      </c>
      <c r="L282" s="10">
        <f>L281/30</f>
        <v>40.533333333333331</v>
      </c>
      <c r="M282" s="10">
        <f>M281/31</f>
        <v>40.29032258064516</v>
      </c>
      <c r="N282" s="10">
        <f>N281/31</f>
        <v>40.096774193548384</v>
      </c>
      <c r="O282" s="10">
        <f>O281/30</f>
        <v>40.033333333333331</v>
      </c>
      <c r="P282" s="10">
        <f>P281/31</f>
        <v>39.645161290322584</v>
      </c>
      <c r="Q282" s="10">
        <f>Q281/30</f>
        <v>35.5</v>
      </c>
      <c r="R282" s="10">
        <f>R281/31</f>
        <v>28.483870967741936</v>
      </c>
      <c r="S282" s="10">
        <f>S281/31</f>
        <v>27</v>
      </c>
      <c r="T282" s="10">
        <f>T281/28</f>
        <v>26.714285714285715</v>
      </c>
      <c r="U282" s="10">
        <f>U281/31</f>
        <v>19.096774193548388</v>
      </c>
      <c r="V282" s="6"/>
      <c r="W282" s="6"/>
      <c r="X282" s="6"/>
      <c r="Y282" s="6"/>
      <c r="Z282" s="6"/>
      <c r="AA282" s="6"/>
      <c r="AB282" s="6"/>
      <c r="AC282" s="6"/>
    </row>
    <row r="283" spans="2:29" x14ac:dyDescent="0.2">
      <c r="C283" t="s">
        <v>114</v>
      </c>
      <c r="G283" s="6">
        <v>81</v>
      </c>
      <c r="H283" s="6">
        <v>80</v>
      </c>
      <c r="I283" s="6">
        <v>79</v>
      </c>
      <c r="J283" s="6">
        <v>75</v>
      </c>
      <c r="K283" s="6">
        <v>75</v>
      </c>
      <c r="L283" s="6">
        <v>59</v>
      </c>
      <c r="M283" s="6">
        <v>59</v>
      </c>
      <c r="N283" s="6">
        <v>58</v>
      </c>
      <c r="O283" s="6">
        <v>55</v>
      </c>
      <c r="P283" s="6">
        <v>54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/>
      <c r="W283" s="6"/>
      <c r="X283" s="6"/>
      <c r="Y283" s="6"/>
      <c r="Z283" s="6"/>
      <c r="AA283" s="6"/>
      <c r="AB283" s="6"/>
      <c r="AC283" s="6"/>
    </row>
    <row r="284" spans="2:29" x14ac:dyDescent="0.2">
      <c r="C284" t="s">
        <v>3</v>
      </c>
      <c r="G284" s="5" t="s">
        <v>103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x14ac:dyDescent="0.2">
      <c r="B286" s="3" t="s">
        <v>36</v>
      </c>
      <c r="C286" s="3" t="s">
        <v>38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2:29" x14ac:dyDescent="0.2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2:29" hidden="1" x14ac:dyDescent="0.2">
      <c r="C288" t="s">
        <v>120</v>
      </c>
      <c r="G288" s="8">
        <v>4805</v>
      </c>
      <c r="H288" s="8">
        <v>6151</v>
      </c>
      <c r="I288" s="8">
        <v>5549</v>
      </c>
      <c r="J288" s="8">
        <v>2520</v>
      </c>
      <c r="K288" s="8">
        <v>620</v>
      </c>
      <c r="L288" s="8">
        <v>360</v>
      </c>
      <c r="M288" s="8">
        <v>155</v>
      </c>
      <c r="N288" s="8">
        <v>155</v>
      </c>
      <c r="O288" s="8">
        <v>150</v>
      </c>
      <c r="P288" s="8">
        <v>1333</v>
      </c>
      <c r="Q288" s="8">
        <v>240</v>
      </c>
      <c r="R288" s="8">
        <v>279</v>
      </c>
      <c r="S288" s="8">
        <v>279</v>
      </c>
      <c r="T288" s="8">
        <v>252</v>
      </c>
      <c r="U288" s="8">
        <v>279</v>
      </c>
    </row>
    <row r="289" spans="2:21" s="7" customFormat="1" x14ac:dyDescent="0.2">
      <c r="C289" t="s">
        <v>120</v>
      </c>
      <c r="G289" s="9">
        <f>G288/31</f>
        <v>155</v>
      </c>
      <c r="H289" s="9">
        <f>H288/29</f>
        <v>212.10344827586206</v>
      </c>
      <c r="I289" s="9">
        <f>I288/31</f>
        <v>179</v>
      </c>
      <c r="J289" s="9">
        <f>J288/30</f>
        <v>84</v>
      </c>
      <c r="K289" s="9">
        <f>K288/31</f>
        <v>20</v>
      </c>
      <c r="L289" s="9">
        <f>L288/30</f>
        <v>12</v>
      </c>
      <c r="M289" s="9">
        <f>M288/31</f>
        <v>5</v>
      </c>
      <c r="N289" s="9">
        <f>N288/31</f>
        <v>5</v>
      </c>
      <c r="O289" s="9">
        <f>O288/30</f>
        <v>5</v>
      </c>
      <c r="P289" s="9">
        <f>P288/31</f>
        <v>43</v>
      </c>
      <c r="Q289" s="9">
        <f>Q288/30</f>
        <v>8</v>
      </c>
      <c r="R289" s="9">
        <f>R288/31</f>
        <v>9</v>
      </c>
      <c r="S289" s="9">
        <f>S288/31</f>
        <v>9</v>
      </c>
      <c r="T289" s="9">
        <f>T288/28</f>
        <v>9</v>
      </c>
      <c r="U289" s="9">
        <f>U288/31</f>
        <v>9</v>
      </c>
    </row>
    <row r="290" spans="2:21" x14ac:dyDescent="0.2">
      <c r="C290" t="s">
        <v>114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</row>
    <row r="291" spans="2:21" x14ac:dyDescent="0.2">
      <c r="C291" t="s">
        <v>121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</row>
    <row r="292" spans="2:21" x14ac:dyDescent="0.2">
      <c r="C292" t="s">
        <v>114</v>
      </c>
      <c r="G292" s="6">
        <v>211</v>
      </c>
      <c r="H292" s="6">
        <v>210</v>
      </c>
      <c r="I292" s="6">
        <v>209</v>
      </c>
      <c r="J292" s="6">
        <v>185</v>
      </c>
      <c r="K292" s="6">
        <v>185</v>
      </c>
      <c r="L292" s="6">
        <v>98</v>
      </c>
      <c r="M292" s="6">
        <v>97</v>
      </c>
      <c r="N292" s="6">
        <v>89</v>
      </c>
      <c r="O292" s="6">
        <v>66</v>
      </c>
      <c r="P292" s="6">
        <v>64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</row>
    <row r="293" spans="2:21" x14ac:dyDescent="0.2">
      <c r="C293" t="s">
        <v>3</v>
      </c>
      <c r="G293" s="5" t="s">
        <v>104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1" x14ac:dyDescent="0.2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1" x14ac:dyDescent="0.2">
      <c r="B295" s="3" t="s">
        <v>36</v>
      </c>
      <c r="C295" s="3" t="s">
        <v>39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2:21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2:21" hidden="1" x14ac:dyDescent="0.2">
      <c r="C297" t="s">
        <v>120</v>
      </c>
      <c r="G297" s="8">
        <v>3441</v>
      </c>
      <c r="H297" s="8">
        <v>3569</v>
      </c>
      <c r="I297" s="8">
        <v>2821</v>
      </c>
      <c r="J297" s="8">
        <v>3930</v>
      </c>
      <c r="K297" s="8">
        <v>3224</v>
      </c>
      <c r="L297" s="8">
        <v>1950</v>
      </c>
      <c r="M297" s="8">
        <v>1457</v>
      </c>
      <c r="N297" s="8">
        <v>1457</v>
      </c>
      <c r="O297" s="8">
        <v>1680</v>
      </c>
      <c r="P297" s="8">
        <v>2511</v>
      </c>
      <c r="Q297" s="8">
        <v>3810</v>
      </c>
      <c r="R297" s="8">
        <v>3441</v>
      </c>
      <c r="S297" s="8">
        <v>3069</v>
      </c>
      <c r="T297" s="8">
        <v>3612</v>
      </c>
      <c r="U297" s="8">
        <v>2759</v>
      </c>
    </row>
    <row r="298" spans="2:21" s="7" customFormat="1" x14ac:dyDescent="0.2">
      <c r="C298" t="s">
        <v>120</v>
      </c>
      <c r="G298" s="9">
        <v>202</v>
      </c>
      <c r="H298" s="9">
        <v>221</v>
      </c>
      <c r="I298" s="9">
        <v>151</v>
      </c>
      <c r="J298" s="9">
        <f>J297/30</f>
        <v>131</v>
      </c>
      <c r="K298" s="9">
        <f>K297/31</f>
        <v>104</v>
      </c>
      <c r="L298" s="9">
        <f>L297/30</f>
        <v>65</v>
      </c>
      <c r="M298" s="9">
        <f>M297/31</f>
        <v>47</v>
      </c>
      <c r="N298" s="9">
        <f>N297/31</f>
        <v>47</v>
      </c>
      <c r="O298" s="9">
        <f>O297/30</f>
        <v>56</v>
      </c>
      <c r="P298" s="9">
        <f>P297/31</f>
        <v>81</v>
      </c>
      <c r="Q298" s="9">
        <f>Q297/30</f>
        <v>127</v>
      </c>
      <c r="R298" s="9">
        <f>R297/31</f>
        <v>111</v>
      </c>
      <c r="S298" s="9">
        <v>91</v>
      </c>
      <c r="T298" s="9">
        <v>121</v>
      </c>
      <c r="U298" s="9">
        <v>81</v>
      </c>
    </row>
    <row r="299" spans="2:21" x14ac:dyDescent="0.2">
      <c r="C299" t="s">
        <v>114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1" x14ac:dyDescent="0.2">
      <c r="C300" t="s">
        <v>121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2:21" x14ac:dyDescent="0.2">
      <c r="C301" t="s">
        <v>114</v>
      </c>
      <c r="G301" s="6">
        <v>53</v>
      </c>
      <c r="H301" s="6">
        <v>53</v>
      </c>
      <c r="I301" s="6">
        <v>53</v>
      </c>
      <c r="J301" s="6">
        <v>48</v>
      </c>
      <c r="K301" s="6">
        <v>48</v>
      </c>
      <c r="L301" s="6">
        <v>30</v>
      </c>
      <c r="M301" s="6">
        <v>30</v>
      </c>
      <c r="N301" s="6">
        <v>28</v>
      </c>
      <c r="O301" s="6">
        <v>24</v>
      </c>
      <c r="P301" s="6">
        <v>14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</row>
    <row r="302" spans="2:21" x14ac:dyDescent="0.2">
      <c r="C302" t="s">
        <v>3</v>
      </c>
      <c r="G302" s="5" t="s">
        <v>104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1" x14ac:dyDescent="0.2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2:21" x14ac:dyDescent="0.2">
      <c r="B304" s="3" t="s">
        <v>36</v>
      </c>
      <c r="C304" s="3" t="s">
        <v>40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2:36" x14ac:dyDescent="0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2:36" hidden="1" x14ac:dyDescent="0.2">
      <c r="C306" t="s">
        <v>120</v>
      </c>
      <c r="G306" s="10">
        <f>50848+223839+92121+18404</f>
        <v>385212</v>
      </c>
      <c r="H306" s="10">
        <f>42304+193190+84886+18607</f>
        <v>338987</v>
      </c>
      <c r="I306" s="10">
        <f>44722+137905+85558+18416</f>
        <v>286601</v>
      </c>
      <c r="J306" s="10">
        <f>59213+184797+18416</f>
        <v>262426</v>
      </c>
      <c r="K306" s="10">
        <f>60976+168780+17679</f>
        <v>247435</v>
      </c>
      <c r="L306" s="10">
        <f>59156+120668+17889</f>
        <v>197713</v>
      </c>
      <c r="M306" s="10">
        <f>61209+100945+16837</f>
        <v>178991</v>
      </c>
      <c r="N306" s="10">
        <f>60769+73364+13158</f>
        <v>147291</v>
      </c>
      <c r="O306" s="10">
        <f>46108+63425</f>
        <v>109533</v>
      </c>
      <c r="P306" s="10">
        <f>3498+63425</f>
        <v>66923</v>
      </c>
      <c r="Q306" s="10">
        <f>1535+55711</f>
        <v>57246</v>
      </c>
      <c r="R306" s="10">
        <f>2+3472</f>
        <v>3474</v>
      </c>
      <c r="S306" s="10">
        <f>24+4350</f>
        <v>4374</v>
      </c>
      <c r="T306" s="10">
        <v>4613</v>
      </c>
      <c r="U306" s="10">
        <v>3171</v>
      </c>
      <c r="V306" s="6"/>
      <c r="W306" s="6"/>
      <c r="X306" s="6"/>
      <c r="Y306" s="6"/>
      <c r="Z306" s="6"/>
      <c r="AA306" s="6"/>
      <c r="AB306" s="6"/>
    </row>
    <row r="307" spans="2:36" s="7" customFormat="1" x14ac:dyDescent="0.2">
      <c r="C307" t="s">
        <v>120</v>
      </c>
      <c r="G307" s="10">
        <v>11758</v>
      </c>
      <c r="H307" s="10">
        <v>14707</v>
      </c>
      <c r="I307" s="10">
        <v>12035</v>
      </c>
      <c r="J307" s="10">
        <v>9724</v>
      </c>
      <c r="K307" s="10">
        <v>8792</v>
      </c>
      <c r="L307" s="10">
        <v>7652</v>
      </c>
      <c r="M307" s="10">
        <v>6776</v>
      </c>
      <c r="N307" s="10">
        <v>5333</v>
      </c>
      <c r="O307" s="10">
        <v>4297</v>
      </c>
      <c r="P307" s="10">
        <v>2131</v>
      </c>
      <c r="Q307" s="10">
        <v>1670</v>
      </c>
      <c r="R307" s="10">
        <f>R306/31</f>
        <v>112.06451612903226</v>
      </c>
      <c r="S307" s="10">
        <f>S306/31</f>
        <v>141.09677419354838</v>
      </c>
      <c r="T307" s="10">
        <f>T306/28</f>
        <v>164.75</v>
      </c>
      <c r="U307" s="10">
        <f>U306/31</f>
        <v>102.29032258064517</v>
      </c>
      <c r="V307" s="6"/>
      <c r="W307" s="6"/>
      <c r="X307" s="6"/>
      <c r="Y307" s="6"/>
      <c r="Z307" s="6"/>
      <c r="AA307" s="6"/>
      <c r="AB307" s="6"/>
    </row>
    <row r="308" spans="2:36" x14ac:dyDescent="0.2">
      <c r="C308" t="s">
        <v>114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/>
      <c r="W308" s="6"/>
      <c r="X308" s="6"/>
      <c r="Y308" s="6"/>
      <c r="Z308" s="6"/>
      <c r="AA308" s="6"/>
      <c r="AB308" s="6"/>
    </row>
    <row r="309" spans="2:36" hidden="1" x14ac:dyDescent="0.2">
      <c r="C309" t="s">
        <v>121</v>
      </c>
      <c r="G309" s="10">
        <f>85465+25133+259314+4376+1872</f>
        <v>376160</v>
      </c>
      <c r="H309" s="10">
        <f>74765+22737+233904+4375+1864</f>
        <v>337645</v>
      </c>
      <c r="I309" s="10">
        <f>58264+23401+258202+4375+1856</f>
        <v>346098</v>
      </c>
      <c r="J309" s="10">
        <f>35827+22443+249643+4374+1849</f>
        <v>314136</v>
      </c>
      <c r="K309" s="10">
        <f>17759+22702+254347+4374+1841</f>
        <v>301023</v>
      </c>
      <c r="L309" s="10">
        <f>8841+21932+244765+136+1833</f>
        <v>277507</v>
      </c>
      <c r="M309" s="10">
        <f>8296+22602+252450+135+1825</f>
        <v>285308</v>
      </c>
      <c r="N309" s="10">
        <f>8368+22481+251181+135+1817</f>
        <v>283982</v>
      </c>
      <c r="O309" s="10">
        <f>10582+21229+241965+135+1809</f>
        <v>275720</v>
      </c>
      <c r="P309" s="10">
        <f>17506+21757+248653+134+1802</f>
        <v>289852</v>
      </c>
      <c r="Q309" s="10">
        <f>19291+21019+239539+133</f>
        <v>279982</v>
      </c>
      <c r="R309" s="10">
        <f>25997+21662+193451+133</f>
        <v>241243</v>
      </c>
      <c r="S309" s="10">
        <f>12008+19671+191568</f>
        <v>223247</v>
      </c>
      <c r="T309" s="10">
        <f>5332+16671+172192</f>
        <v>194195</v>
      </c>
      <c r="U309" s="10">
        <f>2389+17917+131976</f>
        <v>152282</v>
      </c>
      <c r="V309" s="6"/>
      <c r="W309" s="6"/>
      <c r="X309" s="6"/>
      <c r="Y309" s="6"/>
      <c r="Z309" s="6"/>
      <c r="AA309" s="6"/>
      <c r="AB309" s="6"/>
    </row>
    <row r="310" spans="2:36" s="7" customFormat="1" x14ac:dyDescent="0.2">
      <c r="C310" t="s">
        <v>121</v>
      </c>
      <c r="G310" s="10">
        <v>10418</v>
      </c>
      <c r="H310" s="10">
        <v>10253</v>
      </c>
      <c r="I310" s="10">
        <v>10133</v>
      </c>
      <c r="J310" s="10">
        <f>J309/30</f>
        <v>10471.200000000001</v>
      </c>
      <c r="K310" s="10">
        <f>K309/31</f>
        <v>9710.4193548387102</v>
      </c>
      <c r="L310" s="10">
        <f>L309/30</f>
        <v>9250.2333333333336</v>
      </c>
      <c r="M310" s="10">
        <f>M309/31</f>
        <v>9203.4838709677424</v>
      </c>
      <c r="N310" s="10">
        <f>N309/31</f>
        <v>9160.7096774193542</v>
      </c>
      <c r="O310" s="10">
        <f>O309/30</f>
        <v>9190.6666666666661</v>
      </c>
      <c r="P310" s="10">
        <f>P309/31</f>
        <v>9350.0645161290322</v>
      </c>
      <c r="Q310" s="10">
        <f>Q309/30</f>
        <v>9332.7333333333336</v>
      </c>
      <c r="R310" s="10">
        <f>R309/31</f>
        <v>7782.0322580645161</v>
      </c>
      <c r="S310" s="10">
        <f>S309/31</f>
        <v>7201.5161290322585</v>
      </c>
      <c r="T310" s="10">
        <f>T309/28</f>
        <v>6935.5357142857147</v>
      </c>
      <c r="U310" s="10">
        <f>U309/31</f>
        <v>4912.322580645161</v>
      </c>
      <c r="V310" s="6"/>
      <c r="W310" s="6"/>
      <c r="X310" s="6"/>
      <c r="Y310" s="6"/>
      <c r="Z310" s="6"/>
      <c r="AA310" s="6"/>
      <c r="AB310" s="6"/>
    </row>
    <row r="311" spans="2:36" x14ac:dyDescent="0.2">
      <c r="C311" t="s">
        <v>114</v>
      </c>
      <c r="G311" s="10">
        <v>15662</v>
      </c>
      <c r="H311" s="10">
        <v>15662</v>
      </c>
      <c r="I311" s="10">
        <v>15662</v>
      </c>
      <c r="J311" s="10">
        <v>11618</v>
      </c>
      <c r="K311" s="10">
        <v>11618</v>
      </c>
      <c r="L311" s="10">
        <v>11618</v>
      </c>
      <c r="M311" s="10">
        <v>11618</v>
      </c>
      <c r="N311" s="10">
        <v>11618</v>
      </c>
      <c r="O311" s="10">
        <v>11618</v>
      </c>
      <c r="P311" s="10">
        <v>9318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6"/>
      <c r="W311" s="6"/>
      <c r="X311" s="6"/>
      <c r="Y311" s="6"/>
      <c r="Z311" s="6"/>
      <c r="AA311" s="6"/>
      <c r="AB311" s="6"/>
    </row>
    <row r="312" spans="2:36" x14ac:dyDescent="0.2">
      <c r="C312" t="s">
        <v>3</v>
      </c>
      <c r="G312" s="5" t="s">
        <v>105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2:36" x14ac:dyDescent="0.2">
      <c r="B314" s="3" t="s">
        <v>36</v>
      </c>
      <c r="C314" s="3" t="s">
        <v>41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2:36" x14ac:dyDescent="0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hidden="1" x14ac:dyDescent="0.2">
      <c r="C316" t="s">
        <v>120</v>
      </c>
      <c r="G316" s="10">
        <f>74495+775</f>
        <v>75270</v>
      </c>
      <c r="H316" s="10">
        <f>56829+775</f>
        <v>57604</v>
      </c>
      <c r="I316" s="10">
        <f>51253+725</f>
        <v>51978</v>
      </c>
      <c r="J316" s="10">
        <f>37705+775</f>
        <v>38480</v>
      </c>
      <c r="K316" s="10">
        <f>3411+750</f>
        <v>4161</v>
      </c>
      <c r="L316" s="10">
        <f>14820+775</f>
        <v>15595</v>
      </c>
      <c r="M316" s="10">
        <f>5921+750</f>
        <v>6671</v>
      </c>
      <c r="N316" s="10">
        <f>5921+775</f>
        <v>6696</v>
      </c>
      <c r="O316" s="10">
        <v>2730</v>
      </c>
      <c r="P316" s="10">
        <v>2730</v>
      </c>
      <c r="Q316" s="10">
        <v>3131</v>
      </c>
      <c r="R316" s="10">
        <v>31</v>
      </c>
      <c r="S316" s="10">
        <v>31</v>
      </c>
      <c r="T316" s="10">
        <v>532</v>
      </c>
      <c r="U316" s="10">
        <v>583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s="7" customFormat="1" x14ac:dyDescent="0.2">
      <c r="C317" t="s">
        <v>120</v>
      </c>
      <c r="G317" s="10">
        <v>2428</v>
      </c>
      <c r="H317" s="10">
        <v>595</v>
      </c>
      <c r="I317" s="10">
        <v>499</v>
      </c>
      <c r="J317" s="10">
        <v>1388</v>
      </c>
      <c r="K317" s="10">
        <v>1096</v>
      </c>
      <c r="L317" s="10">
        <v>625</v>
      </c>
      <c r="M317" s="10">
        <v>317</v>
      </c>
      <c r="N317" s="10">
        <v>318</v>
      </c>
      <c r="O317" s="10">
        <v>196</v>
      </c>
      <c r="P317" s="10">
        <v>203</v>
      </c>
      <c r="Q317" s="10">
        <v>106</v>
      </c>
      <c r="R317" s="10">
        <f>R316/31</f>
        <v>1</v>
      </c>
      <c r="S317" s="10">
        <f>S316/31</f>
        <v>1</v>
      </c>
      <c r="T317" s="10">
        <f>T316/28</f>
        <v>19</v>
      </c>
      <c r="U317" s="10">
        <f>U316/31</f>
        <v>18.806451612903224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">
      <c r="C319" t="s">
        <v>121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2:36" x14ac:dyDescent="0.2">
      <c r="C320" t="s">
        <v>114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2:21" x14ac:dyDescent="0.2">
      <c r="C321" t="s">
        <v>3</v>
      </c>
      <c r="G321" s="5" t="s">
        <v>106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x14ac:dyDescent="0.2">
      <c r="B323" s="3" t="s">
        <v>36</v>
      </c>
      <c r="C323" s="3" t="s">
        <v>42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2:21" x14ac:dyDescent="0.2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2:21" hidden="1" x14ac:dyDescent="0.2">
      <c r="C325" t="s">
        <v>120</v>
      </c>
      <c r="G325" s="8">
        <v>4403</v>
      </c>
      <c r="H325" s="8">
        <v>4341</v>
      </c>
      <c r="I325" s="8">
        <v>1758</v>
      </c>
      <c r="J325" s="8">
        <v>1535</v>
      </c>
      <c r="K325" s="8">
        <v>1235</v>
      </c>
      <c r="L325" s="8">
        <v>2081</v>
      </c>
      <c r="M325" s="8">
        <v>1049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s="7" customFormat="1" x14ac:dyDescent="0.2">
      <c r="C326" t="s">
        <v>120</v>
      </c>
      <c r="G326" s="9">
        <f>G325/31</f>
        <v>142.03225806451613</v>
      </c>
      <c r="H326" s="9">
        <f>H325/29</f>
        <v>149.68965517241378</v>
      </c>
      <c r="I326" s="9">
        <f>I325/31</f>
        <v>56.70967741935484</v>
      </c>
      <c r="J326" s="9">
        <f>J325/30</f>
        <v>51.166666666666664</v>
      </c>
      <c r="K326" s="9">
        <f>K325/31</f>
        <v>39.838709677419352</v>
      </c>
      <c r="L326" s="9">
        <f>L325/30</f>
        <v>69.36666666666666</v>
      </c>
      <c r="M326" s="9">
        <f>M325/31</f>
        <v>33.838709677419352</v>
      </c>
      <c r="N326" s="9">
        <f>N325/31</f>
        <v>0</v>
      </c>
      <c r="O326" s="9">
        <f>O325/30</f>
        <v>0</v>
      </c>
      <c r="P326" s="9">
        <f>P325/31</f>
        <v>0</v>
      </c>
      <c r="Q326" s="9">
        <f>Q325/30</f>
        <v>0</v>
      </c>
      <c r="R326" s="9">
        <f>R325/31</f>
        <v>0</v>
      </c>
      <c r="S326" s="9">
        <f>S325/31</f>
        <v>0</v>
      </c>
      <c r="T326" s="9">
        <f>T325/28</f>
        <v>0</v>
      </c>
      <c r="U326" s="9">
        <f>U325/31</f>
        <v>0</v>
      </c>
    </row>
    <row r="327" spans="2:21" x14ac:dyDescent="0.2">
      <c r="C327" t="s">
        <v>114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</row>
    <row r="328" spans="2:21" hidden="1" x14ac:dyDescent="0.2">
      <c r="C328" t="s">
        <v>121</v>
      </c>
      <c r="G328" s="8">
        <f>518+3200+1260+63</f>
        <v>5041</v>
      </c>
      <c r="H328" s="8">
        <f>469+2887+1260+63</f>
        <v>4679</v>
      </c>
      <c r="I328" s="8">
        <f>482+3187+1260+63</f>
        <v>4992</v>
      </c>
      <c r="J328" s="8">
        <f>463+3081+1260+62</f>
        <v>4866</v>
      </c>
      <c r="K328" s="8">
        <f>468+3139+1259+62</f>
        <v>4928</v>
      </c>
      <c r="L328" s="8">
        <f>452+3021+39+62</f>
        <v>3574</v>
      </c>
      <c r="M328" s="8">
        <f>466+3116+39+61</f>
        <v>3682</v>
      </c>
      <c r="N328" s="8">
        <f>464+3100+39+61</f>
        <v>3664</v>
      </c>
      <c r="O328" s="8">
        <f>438+2986+39+61</f>
        <v>3524</v>
      </c>
      <c r="P328" s="8">
        <f>449+3069+39+61</f>
        <v>3618</v>
      </c>
      <c r="Q328" s="8">
        <f>433+2956+38</f>
        <v>3427</v>
      </c>
      <c r="R328" s="8">
        <f>447+2387+38</f>
        <v>2872</v>
      </c>
      <c r="S328" s="8">
        <f>406+2364</f>
        <v>2770</v>
      </c>
      <c r="T328" s="8">
        <f>344+2125</f>
        <v>2469</v>
      </c>
      <c r="U328" s="8">
        <f>369+1629</f>
        <v>1998</v>
      </c>
    </row>
    <row r="329" spans="2:21" s="7" customFormat="1" x14ac:dyDescent="0.2">
      <c r="C329" t="s">
        <v>121</v>
      </c>
      <c r="G329" s="9">
        <f>G328/31</f>
        <v>162.61290322580646</v>
      </c>
      <c r="H329" s="9">
        <v>166</v>
      </c>
      <c r="I329" s="9">
        <f>I328/31</f>
        <v>161.03225806451613</v>
      </c>
      <c r="J329" s="9">
        <f>J328/30</f>
        <v>162.19999999999999</v>
      </c>
      <c r="K329" s="9">
        <f>K328/31</f>
        <v>158.96774193548387</v>
      </c>
      <c r="L329" s="9">
        <f>L328/30</f>
        <v>119.13333333333334</v>
      </c>
      <c r="M329" s="9">
        <f>M328/31</f>
        <v>118.7741935483871</v>
      </c>
      <c r="N329" s="9">
        <f>N328/31</f>
        <v>118.19354838709677</v>
      </c>
      <c r="O329" s="9">
        <f>O328/30</f>
        <v>117.46666666666667</v>
      </c>
      <c r="P329" s="9">
        <f>P328/31</f>
        <v>116.70967741935483</v>
      </c>
      <c r="Q329" s="9">
        <f>Q328/30</f>
        <v>114.23333333333333</v>
      </c>
      <c r="R329" s="9">
        <f>R328/31</f>
        <v>92.645161290322577</v>
      </c>
      <c r="S329" s="9">
        <f>S328/31</f>
        <v>89.354838709677423</v>
      </c>
      <c r="T329" s="9">
        <f>T328/28</f>
        <v>88.178571428571431</v>
      </c>
      <c r="U329" s="9">
        <f>U328/31</f>
        <v>64.451612903225808</v>
      </c>
    </row>
    <row r="330" spans="2:21" x14ac:dyDescent="0.2">
      <c r="C330" t="s">
        <v>114</v>
      </c>
      <c r="G330" s="6">
        <v>123</v>
      </c>
      <c r="H330" s="6">
        <v>123</v>
      </c>
      <c r="I330" s="6">
        <v>123</v>
      </c>
      <c r="J330" s="6">
        <v>123</v>
      </c>
      <c r="K330" s="6">
        <v>123</v>
      </c>
      <c r="L330" s="6">
        <v>123</v>
      </c>
      <c r="M330" s="6">
        <v>123</v>
      </c>
      <c r="N330" s="6">
        <v>123</v>
      </c>
      <c r="O330" s="6">
        <v>123</v>
      </c>
      <c r="P330" s="6">
        <v>123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2:21" x14ac:dyDescent="0.2">
      <c r="C331" t="s">
        <v>3</v>
      </c>
      <c r="G331" s="5" t="s">
        <v>107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x14ac:dyDescent="0.2">
      <c r="B333" s="3" t="s">
        <v>36</v>
      </c>
      <c r="C333" s="3" t="s">
        <v>43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2:21" x14ac:dyDescent="0.2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2:21" hidden="1" x14ac:dyDescent="0.2">
      <c r="C335" t="s">
        <v>120</v>
      </c>
      <c r="G335" s="8">
        <v>11071</v>
      </c>
      <c r="H335" s="8">
        <v>10456</v>
      </c>
      <c r="I335" s="8">
        <v>5570</v>
      </c>
      <c r="J335" s="8">
        <v>10029</v>
      </c>
      <c r="K335" s="8">
        <v>7961</v>
      </c>
      <c r="L335" s="8">
        <v>7265</v>
      </c>
      <c r="M335" s="8">
        <v>7224</v>
      </c>
      <c r="N335" s="8">
        <v>8552</v>
      </c>
      <c r="O335" s="8">
        <v>8172</v>
      </c>
      <c r="P335" s="8">
        <v>8172</v>
      </c>
      <c r="Q335" s="8">
        <v>8415</v>
      </c>
      <c r="R335" s="8">
        <v>8675</v>
      </c>
      <c r="S335" s="8">
        <v>8625</v>
      </c>
      <c r="T335" s="8">
        <v>7774</v>
      </c>
      <c r="U335" s="8">
        <v>8675</v>
      </c>
    </row>
    <row r="336" spans="2:21" s="7" customFormat="1" x14ac:dyDescent="0.2">
      <c r="C336" t="s">
        <v>120</v>
      </c>
      <c r="G336" s="9">
        <f>G335/31</f>
        <v>357.12903225806451</v>
      </c>
      <c r="H336" s="9">
        <v>654</v>
      </c>
      <c r="I336" s="9">
        <v>454</v>
      </c>
      <c r="J336" s="9">
        <v>418</v>
      </c>
      <c r="K336" s="9">
        <v>337</v>
      </c>
      <c r="L336" s="9">
        <v>326</v>
      </c>
      <c r="M336" s="9">
        <v>314</v>
      </c>
      <c r="N336" s="9">
        <v>357</v>
      </c>
      <c r="O336" s="9">
        <v>356</v>
      </c>
      <c r="P336" s="9">
        <v>344</v>
      </c>
      <c r="Q336" s="9">
        <v>364</v>
      </c>
      <c r="R336" s="9">
        <f>R335/31</f>
        <v>279.83870967741933</v>
      </c>
      <c r="S336" s="9">
        <f>S335/31</f>
        <v>278.22580645161293</v>
      </c>
      <c r="T336" s="9">
        <f>T335/28</f>
        <v>277.64285714285717</v>
      </c>
      <c r="U336" s="9">
        <f>U335/31</f>
        <v>279.83870967741933</v>
      </c>
    </row>
    <row r="337" spans="2:25" x14ac:dyDescent="0.2">
      <c r="C337" t="s">
        <v>114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</row>
    <row r="338" spans="2:25" hidden="1" x14ac:dyDescent="0.2">
      <c r="C338" t="s">
        <v>121</v>
      </c>
      <c r="G338" s="8">
        <f>1719+327+3929</f>
        <v>5975</v>
      </c>
      <c r="H338" s="8">
        <f>1505+295+3538</f>
        <v>5338</v>
      </c>
      <c r="I338" s="8">
        <f>1173+303+3906</f>
        <v>5382</v>
      </c>
      <c r="J338" s="8">
        <f>721+291+3776</f>
        <v>4788</v>
      </c>
      <c r="K338" s="8">
        <f>357+294+3848</f>
        <v>4499</v>
      </c>
      <c r="L338" s="8">
        <f>179+284+3703</f>
        <v>4166</v>
      </c>
      <c r="M338" s="8">
        <f>167+293+3819</f>
        <v>4279</v>
      </c>
      <c r="N338" s="8">
        <f>168+291+3800</f>
        <v>4259</v>
      </c>
      <c r="O338" s="8">
        <f>213+275+3660</f>
        <v>4148</v>
      </c>
      <c r="P338" s="8">
        <f>353+282+3761</f>
        <v>4396</v>
      </c>
      <c r="Q338" s="8">
        <f>391+272+3624</f>
        <v>4287</v>
      </c>
      <c r="R338" s="8">
        <f>527+281+2926</f>
        <v>3734</v>
      </c>
      <c r="S338" s="8">
        <f>249+255+2898</f>
        <v>3402</v>
      </c>
      <c r="T338" s="8">
        <f>113+216+2605</f>
        <v>2934</v>
      </c>
      <c r="U338" s="8">
        <f>52+232+1996</f>
        <v>2280</v>
      </c>
    </row>
    <row r="339" spans="2:25" s="7" customFormat="1" x14ac:dyDescent="0.2">
      <c r="C339" t="s">
        <v>121</v>
      </c>
      <c r="G339" s="9">
        <v>158</v>
      </c>
      <c r="H339" s="9">
        <v>156</v>
      </c>
      <c r="I339" s="9">
        <v>152</v>
      </c>
      <c r="J339" s="9">
        <f>J338/30</f>
        <v>159.6</v>
      </c>
      <c r="K339" s="9">
        <f>K338/31</f>
        <v>145.12903225806451</v>
      </c>
      <c r="L339" s="9">
        <f>L338/30</f>
        <v>138.86666666666667</v>
      </c>
      <c r="M339" s="9">
        <f>M338/31</f>
        <v>138.03225806451613</v>
      </c>
      <c r="N339" s="9">
        <f>N338/31</f>
        <v>137.38709677419354</v>
      </c>
      <c r="O339" s="9">
        <f>O338/30</f>
        <v>138.26666666666668</v>
      </c>
      <c r="P339" s="9">
        <f>P338/31</f>
        <v>141.80645161290323</v>
      </c>
      <c r="Q339" s="9">
        <f>Q338/30</f>
        <v>142.9</v>
      </c>
      <c r="R339" s="9">
        <f>R338/31</f>
        <v>120.45161290322581</v>
      </c>
      <c r="S339" s="9">
        <f>S338/31</f>
        <v>109.74193548387096</v>
      </c>
      <c r="T339" s="9">
        <f>T338/28</f>
        <v>104.78571428571429</v>
      </c>
      <c r="U339" s="9">
        <f>U338/31</f>
        <v>73.548387096774192</v>
      </c>
    </row>
    <row r="340" spans="2:25" x14ac:dyDescent="0.2">
      <c r="C340" t="s">
        <v>114</v>
      </c>
      <c r="G340" s="6">
        <v>218</v>
      </c>
      <c r="H340" s="6">
        <v>218</v>
      </c>
      <c r="I340" s="6">
        <v>218</v>
      </c>
      <c r="J340" s="6">
        <v>138</v>
      </c>
      <c r="K340" s="6">
        <v>138</v>
      </c>
      <c r="L340" s="6">
        <v>138</v>
      </c>
      <c r="M340" s="6">
        <v>138</v>
      </c>
      <c r="N340" s="6">
        <v>138</v>
      </c>
      <c r="O340" s="6">
        <v>138</v>
      </c>
      <c r="P340" s="6">
        <v>138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2:25" x14ac:dyDescent="0.2">
      <c r="C341" t="s">
        <v>3</v>
      </c>
      <c r="G341" s="5" t="s">
        <v>108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">
      <c r="B343" s="3" t="s">
        <v>36</v>
      </c>
      <c r="C343" s="3" t="s">
        <v>44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2:25" x14ac:dyDescent="0.2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2:25" x14ac:dyDescent="0.2">
      <c r="C345" t="s">
        <v>120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">
      <c r="C347" t="s">
        <v>121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</row>
    <row r="348" spans="2:25" x14ac:dyDescent="0.2">
      <c r="C348" t="s">
        <v>114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</row>
    <row r="349" spans="2:25" x14ac:dyDescent="0.2">
      <c r="C349" t="s">
        <v>3</v>
      </c>
      <c r="G349" s="5" t="s">
        <v>109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2:25" x14ac:dyDescent="0.2">
      <c r="B351" s="3" t="s">
        <v>45</v>
      </c>
      <c r="C351" s="3" t="s">
        <v>46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2:25" x14ac:dyDescent="0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8" hidden="1" x14ac:dyDescent="0.2">
      <c r="C353" t="s">
        <v>120</v>
      </c>
      <c r="G353" s="10">
        <v>256158</v>
      </c>
      <c r="H353" s="10">
        <v>234049</v>
      </c>
      <c r="I353" s="10">
        <v>235688</v>
      </c>
      <c r="J353" s="10">
        <v>161685</v>
      </c>
      <c r="K353" s="10">
        <v>153927</v>
      </c>
      <c r="L353" s="10">
        <v>106834</v>
      </c>
      <c r="M353" s="10">
        <v>46942</v>
      </c>
      <c r="N353" s="10">
        <v>52374</v>
      </c>
      <c r="O353" s="10">
        <v>51373</v>
      </c>
      <c r="P353" s="10">
        <v>51314</v>
      </c>
      <c r="Q353" s="10">
        <v>17488</v>
      </c>
      <c r="R353" s="10">
        <v>12214</v>
      </c>
      <c r="S353" s="10">
        <v>12307</v>
      </c>
      <c r="T353" s="10">
        <v>10808</v>
      </c>
      <c r="U353" s="10">
        <v>12803</v>
      </c>
      <c r="V353" s="6"/>
      <c r="W353" s="6"/>
      <c r="X353" s="6"/>
      <c r="Y353" s="6"/>
    </row>
    <row r="354" spans="2:28" s="7" customFormat="1" x14ac:dyDescent="0.2">
      <c r="C354" t="s">
        <v>120</v>
      </c>
      <c r="G354" s="10">
        <v>7045</v>
      </c>
      <c r="H354" s="10">
        <v>7950</v>
      </c>
      <c r="I354" s="10">
        <v>7624</v>
      </c>
      <c r="J354" s="10">
        <v>5307</v>
      </c>
      <c r="K354" s="10">
        <v>5040</v>
      </c>
      <c r="L354" s="10">
        <v>3531</v>
      </c>
      <c r="M354" s="10">
        <v>1518</v>
      </c>
      <c r="N354" s="10">
        <v>1760</v>
      </c>
      <c r="O354" s="10">
        <v>1819</v>
      </c>
      <c r="P354" s="10">
        <v>1839</v>
      </c>
      <c r="Q354" s="10">
        <v>821</v>
      </c>
      <c r="R354" s="10">
        <v>478</v>
      </c>
      <c r="S354" s="10">
        <v>520</v>
      </c>
      <c r="T354" s="10">
        <v>482</v>
      </c>
      <c r="U354" s="10">
        <v>502</v>
      </c>
      <c r="V354" s="6"/>
      <c r="W354" s="6"/>
      <c r="X354" s="6"/>
      <c r="Y354" s="6"/>
    </row>
    <row r="355" spans="2:28" x14ac:dyDescent="0.2">
      <c r="C355" t="s">
        <v>114</v>
      </c>
      <c r="G355" s="6">
        <v>19293</v>
      </c>
      <c r="H355" s="6">
        <v>19293</v>
      </c>
      <c r="I355" s="6">
        <v>19293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/>
      <c r="W355" s="6"/>
      <c r="X355" s="6"/>
      <c r="Y355" s="6"/>
    </row>
    <row r="356" spans="2:28" hidden="1" x14ac:dyDescent="0.2">
      <c r="C356" t="s">
        <v>121</v>
      </c>
      <c r="G356" s="10">
        <v>66678</v>
      </c>
      <c r="H356" s="10">
        <v>55419</v>
      </c>
      <c r="I356" s="10">
        <v>47971</v>
      </c>
      <c r="J356" s="10">
        <v>31127</v>
      </c>
      <c r="K356" s="10">
        <v>20039</v>
      </c>
      <c r="L356" s="10">
        <v>13200</v>
      </c>
      <c r="M356" s="10">
        <v>11938</v>
      </c>
      <c r="N356" s="10">
        <v>12146</v>
      </c>
      <c r="O356" s="10">
        <v>14493</v>
      </c>
      <c r="P356" s="10">
        <v>26251</v>
      </c>
      <c r="Q356" s="10">
        <v>1103</v>
      </c>
      <c r="R356" s="10">
        <v>1533</v>
      </c>
      <c r="S356" s="10">
        <v>1743</v>
      </c>
      <c r="T356" s="10">
        <v>1481</v>
      </c>
      <c r="U356" s="10">
        <v>1260</v>
      </c>
      <c r="V356" s="6"/>
      <c r="W356" s="6"/>
      <c r="X356" s="6"/>
      <c r="Y356" s="6"/>
    </row>
    <row r="357" spans="2:28" s="7" customFormat="1" x14ac:dyDescent="0.2">
      <c r="C357" t="s">
        <v>121</v>
      </c>
      <c r="G357" s="10">
        <v>987</v>
      </c>
      <c r="H357" s="10">
        <v>1372</v>
      </c>
      <c r="I357" s="10">
        <v>964</v>
      </c>
      <c r="J357" s="10">
        <v>1005</v>
      </c>
      <c r="K357" s="10">
        <v>559</v>
      </c>
      <c r="L357" s="10">
        <v>335</v>
      </c>
      <c r="M357" s="10">
        <v>269</v>
      </c>
      <c r="N357" s="10">
        <v>268</v>
      </c>
      <c r="O357" s="10">
        <v>387</v>
      </c>
      <c r="P357" s="10">
        <v>798</v>
      </c>
      <c r="Q357" s="10">
        <v>34</v>
      </c>
      <c r="R357" s="10">
        <v>46</v>
      </c>
      <c r="S357" s="10">
        <v>52</v>
      </c>
      <c r="T357" s="10">
        <v>49</v>
      </c>
      <c r="U357" s="10">
        <v>38</v>
      </c>
      <c r="V357" s="6"/>
      <c r="W357" s="6"/>
      <c r="X357" s="6"/>
      <c r="Y357" s="6"/>
    </row>
    <row r="358" spans="2:28" x14ac:dyDescent="0.2">
      <c r="C358" t="s">
        <v>114</v>
      </c>
      <c r="G358" s="6">
        <v>5000</v>
      </c>
      <c r="H358" s="6">
        <v>5000</v>
      </c>
      <c r="I358" s="6">
        <v>5000</v>
      </c>
      <c r="J358" s="6">
        <v>5000</v>
      </c>
      <c r="K358" s="6">
        <v>5000</v>
      </c>
      <c r="L358" s="6">
        <v>5000</v>
      </c>
      <c r="M358" s="6">
        <v>5000</v>
      </c>
      <c r="N358" s="6">
        <v>5000</v>
      </c>
      <c r="O358" s="6">
        <v>5000</v>
      </c>
      <c r="P358" s="6">
        <v>5000</v>
      </c>
      <c r="Q358" s="6">
        <v>5000</v>
      </c>
      <c r="R358" s="6">
        <v>5000</v>
      </c>
      <c r="S358" s="6">
        <v>5000</v>
      </c>
      <c r="T358" s="6">
        <v>5000</v>
      </c>
      <c r="U358" s="6">
        <v>5000</v>
      </c>
      <c r="V358" s="6"/>
      <c r="W358" s="6"/>
      <c r="X358" s="6"/>
      <c r="Y358" s="6"/>
    </row>
    <row r="359" spans="2:28" x14ac:dyDescent="0.2">
      <c r="C359" t="s">
        <v>3</v>
      </c>
      <c r="G359" s="5" t="s">
        <v>110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2:28" x14ac:dyDescent="0.2">
      <c r="B361" s="3" t="s">
        <v>45</v>
      </c>
      <c r="C361" s="3" t="s">
        <v>47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2:28" x14ac:dyDescent="0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2:28" hidden="1" x14ac:dyDescent="0.2">
      <c r="C363" t="s">
        <v>120</v>
      </c>
      <c r="G363" s="10">
        <v>36005</v>
      </c>
      <c r="H363" s="10">
        <v>32181</v>
      </c>
      <c r="I363" s="10">
        <v>25513</v>
      </c>
      <c r="J363" s="10">
        <v>12533</v>
      </c>
      <c r="K363" s="10">
        <v>11274</v>
      </c>
      <c r="L363" s="10">
        <v>9816</v>
      </c>
      <c r="M363" s="10">
        <v>9150</v>
      </c>
      <c r="N363" s="10">
        <v>9151</v>
      </c>
      <c r="O363" s="10">
        <v>8834</v>
      </c>
      <c r="P363" s="10">
        <v>9880</v>
      </c>
      <c r="Q363" s="10">
        <v>1610</v>
      </c>
      <c r="R363" s="10">
        <v>2840</v>
      </c>
      <c r="S363" s="10">
        <v>3127</v>
      </c>
      <c r="T363" s="10">
        <v>3200</v>
      </c>
      <c r="U363" s="10">
        <v>3400</v>
      </c>
      <c r="V363" s="6"/>
      <c r="W363" s="6"/>
      <c r="X363" s="6"/>
      <c r="Y363" s="6"/>
      <c r="Z363" s="6"/>
      <c r="AA363" s="6"/>
      <c r="AB363" s="6"/>
    </row>
    <row r="364" spans="2:28" s="7" customFormat="1" x14ac:dyDescent="0.2">
      <c r="C364" t="s">
        <v>120</v>
      </c>
      <c r="G364" s="10">
        <v>22129</v>
      </c>
      <c r="H364" s="10">
        <v>18146</v>
      </c>
      <c r="I364" s="10">
        <v>17575</v>
      </c>
      <c r="J364" s="10">
        <v>482</v>
      </c>
      <c r="K364" s="10">
        <v>415</v>
      </c>
      <c r="L364" s="10">
        <v>398</v>
      </c>
      <c r="M364" s="10">
        <v>316</v>
      </c>
      <c r="N364" s="10">
        <v>334</v>
      </c>
      <c r="O364" s="10">
        <v>359</v>
      </c>
      <c r="P364" s="10">
        <v>399</v>
      </c>
      <c r="Q364" s="10">
        <v>421</v>
      </c>
      <c r="R364" s="10">
        <v>414</v>
      </c>
      <c r="S364" s="10">
        <v>423</v>
      </c>
      <c r="T364" s="10">
        <v>470</v>
      </c>
      <c r="U364" s="10">
        <v>413</v>
      </c>
      <c r="V364" s="6"/>
      <c r="W364" s="6"/>
      <c r="X364" s="6"/>
      <c r="Y364" s="6"/>
      <c r="Z364" s="6"/>
      <c r="AA364" s="6"/>
      <c r="AB364" s="6"/>
    </row>
    <row r="365" spans="2:28" x14ac:dyDescent="0.2">
      <c r="C365" t="s">
        <v>114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/>
      <c r="W365" s="6"/>
      <c r="X365" s="6"/>
      <c r="Y365" s="6"/>
      <c r="Z365" s="6"/>
      <c r="AA365" s="6"/>
      <c r="AB365" s="6"/>
    </row>
    <row r="366" spans="2:28" hidden="1" x14ac:dyDescent="0.2">
      <c r="C366" t="s">
        <v>121</v>
      </c>
      <c r="G366" s="10">
        <f>34861+10332+37306</f>
        <v>82499</v>
      </c>
      <c r="H366" s="10">
        <f>34360+10295+33549</f>
        <v>78204</v>
      </c>
      <c r="I366" s="10">
        <f>29790+10258+25569</f>
        <v>65617</v>
      </c>
      <c r="J366" s="10">
        <f>25328+10220+20625</f>
        <v>56173</v>
      </c>
      <c r="K366" s="10">
        <f>23319+10183+21237</f>
        <v>54739</v>
      </c>
      <c r="L366" s="10">
        <f>15437+10145+20447</f>
        <v>46029</v>
      </c>
      <c r="M366" s="10">
        <f>14732+10108+21052</f>
        <v>45892</v>
      </c>
      <c r="N366" s="10">
        <f>14614+10071+20960</f>
        <v>45645</v>
      </c>
      <c r="O366" s="10">
        <f>14496+6222+20205</f>
        <v>40923</v>
      </c>
      <c r="P366" s="10">
        <f>14378+3940+20776</f>
        <v>39094</v>
      </c>
      <c r="Q366" s="10">
        <f>14261+1976+20002</f>
        <v>36239</v>
      </c>
      <c r="R366" s="10">
        <f>13472+1084+20592</f>
        <v>35148</v>
      </c>
      <c r="S366" s="10">
        <f>13095+457+20062</f>
        <v>33614</v>
      </c>
      <c r="T366" s="10">
        <f>6766+274+17527</f>
        <v>24567</v>
      </c>
      <c r="U366" s="10">
        <f>6468+65+4754</f>
        <v>11287</v>
      </c>
      <c r="V366" s="6"/>
      <c r="W366" s="6"/>
      <c r="X366" s="6"/>
      <c r="Y366" s="6"/>
      <c r="Z366" s="6"/>
      <c r="AA366" s="6"/>
      <c r="AB366" s="6"/>
    </row>
    <row r="367" spans="2:28" s="7" customFormat="1" x14ac:dyDescent="0.2">
      <c r="C367" t="s">
        <v>121</v>
      </c>
      <c r="G367" s="10">
        <f>G366/31</f>
        <v>2661.2580645161293</v>
      </c>
      <c r="H367" s="10">
        <v>2778</v>
      </c>
      <c r="I367" s="10">
        <f>I366/31</f>
        <v>2116.6774193548385</v>
      </c>
      <c r="J367" s="10">
        <f>J366/30</f>
        <v>1872.4333333333334</v>
      </c>
      <c r="K367" s="10">
        <f>K366/31</f>
        <v>1765.7741935483871</v>
      </c>
      <c r="L367" s="10">
        <f>L366/30</f>
        <v>1534.3</v>
      </c>
      <c r="M367" s="10">
        <f>M366/31</f>
        <v>1480.3870967741937</v>
      </c>
      <c r="N367" s="10">
        <f>N366/31</f>
        <v>1472.4193548387098</v>
      </c>
      <c r="O367" s="10">
        <f>O366/30</f>
        <v>1364.1</v>
      </c>
      <c r="P367" s="10">
        <f>P366/31</f>
        <v>1261.0967741935483</v>
      </c>
      <c r="Q367" s="10">
        <f>Q366/30</f>
        <v>1207.9666666666667</v>
      </c>
      <c r="R367" s="10">
        <f>R366/31</f>
        <v>1133.8064516129032</v>
      </c>
      <c r="S367" s="10">
        <f>S366/31</f>
        <v>1084.3225806451612</v>
      </c>
      <c r="T367" s="10">
        <f>T366/28</f>
        <v>877.39285714285711</v>
      </c>
      <c r="U367" s="10">
        <f>U366/31</f>
        <v>364.09677419354841</v>
      </c>
      <c r="V367" s="6"/>
      <c r="W367" s="6"/>
      <c r="X367" s="6"/>
      <c r="Y367" s="6"/>
      <c r="Z367" s="6"/>
      <c r="AA367" s="6"/>
      <c r="AB367" s="6"/>
    </row>
    <row r="368" spans="2:28" x14ac:dyDescent="0.2">
      <c r="C368" t="s">
        <v>114</v>
      </c>
      <c r="G368" s="6">
        <v>1306</v>
      </c>
      <c r="H368" s="6">
        <v>1306</v>
      </c>
      <c r="I368" s="6">
        <v>1304</v>
      </c>
      <c r="J368" s="6">
        <v>1298</v>
      </c>
      <c r="K368" s="6">
        <v>1265</v>
      </c>
      <c r="L368" s="6">
        <v>962</v>
      </c>
      <c r="M368" s="6">
        <v>51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/>
      <c r="W368" s="6"/>
      <c r="X368" s="6"/>
      <c r="Y368" s="6"/>
      <c r="Z368" s="6"/>
      <c r="AA368" s="6"/>
      <c r="AB368" s="6"/>
    </row>
    <row r="369" spans="1:25" x14ac:dyDescent="0.2">
      <c r="C369" t="s">
        <v>3</v>
      </c>
      <c r="G369" s="5" t="s">
        <v>111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5" x14ac:dyDescent="0.2">
      <c r="B371" s="3" t="s">
        <v>45</v>
      </c>
      <c r="C371" s="3" t="s">
        <v>48</v>
      </c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5" x14ac:dyDescent="0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idden="1" x14ac:dyDescent="0.2">
      <c r="C373" t="s">
        <v>120</v>
      </c>
      <c r="G373" s="10">
        <f>642740+15208</f>
        <v>657948</v>
      </c>
      <c r="H373" s="10">
        <f>601347+10926</f>
        <v>612273</v>
      </c>
      <c r="I373" s="10">
        <f>635796+13463</f>
        <v>649259</v>
      </c>
      <c r="J373" s="10">
        <f>5604+12441</f>
        <v>18045</v>
      </c>
      <c r="K373" s="10">
        <f>4203+11152</f>
        <v>15355</v>
      </c>
      <c r="L373" s="10">
        <f>3745+11187</f>
        <v>14932</v>
      </c>
      <c r="M373" s="10">
        <f>3714+10977</f>
        <v>14691</v>
      </c>
      <c r="N373" s="10">
        <f>3824+10846</f>
        <v>14670</v>
      </c>
      <c r="O373" s="10">
        <f>3700+10958</f>
        <v>14658</v>
      </c>
      <c r="P373" s="10">
        <f>3076+12079</f>
        <v>15155</v>
      </c>
      <c r="Q373" s="10">
        <f>1643+11588</f>
        <v>13231</v>
      </c>
      <c r="R373" s="10">
        <f>10740</f>
        <v>10740</v>
      </c>
      <c r="S373" s="10">
        <f>10769</f>
        <v>10769</v>
      </c>
      <c r="T373" s="10">
        <v>10713</v>
      </c>
      <c r="U373" s="10">
        <v>10432</v>
      </c>
      <c r="V373" s="6"/>
      <c r="W373" s="6"/>
      <c r="X373" s="6"/>
      <c r="Y373" s="6"/>
    </row>
    <row r="374" spans="1:25" s="7" customFormat="1" x14ac:dyDescent="0.2">
      <c r="C374" t="s">
        <v>120</v>
      </c>
      <c r="G374" s="10">
        <v>675</v>
      </c>
      <c r="H374" s="10">
        <v>675</v>
      </c>
      <c r="I374" s="10">
        <v>675</v>
      </c>
      <c r="J374" s="10">
        <v>197</v>
      </c>
      <c r="K374" s="10">
        <v>154</v>
      </c>
      <c r="L374" s="10">
        <v>29</v>
      </c>
      <c r="M374" s="10">
        <v>32</v>
      </c>
      <c r="N374" s="10">
        <v>27</v>
      </c>
      <c r="O374" s="10">
        <v>32</v>
      </c>
      <c r="P374" s="10">
        <v>67</v>
      </c>
      <c r="Q374" s="10">
        <v>53</v>
      </c>
      <c r="R374" s="10">
        <v>24</v>
      </c>
      <c r="S374" s="10">
        <v>25</v>
      </c>
      <c r="T374" s="10">
        <v>25</v>
      </c>
      <c r="U374" s="10">
        <v>14</v>
      </c>
      <c r="V374" s="6"/>
      <c r="W374" s="6"/>
      <c r="X374" s="6"/>
      <c r="Y374" s="6"/>
    </row>
    <row r="375" spans="1:25" x14ac:dyDescent="0.2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">
      <c r="C376" t="s">
        <v>121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/>
      <c r="W376" s="6"/>
      <c r="X376" s="6"/>
      <c r="Y376" s="6"/>
    </row>
    <row r="377" spans="1:25" x14ac:dyDescent="0.2">
      <c r="C377" t="s">
        <v>114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/>
      <c r="W377" s="6"/>
      <c r="X377" s="6"/>
      <c r="Y377" s="6"/>
    </row>
    <row r="378" spans="1:25" x14ac:dyDescent="0.2">
      <c r="C378" t="s">
        <v>3</v>
      </c>
      <c r="G378" s="5" t="s">
        <v>112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">
      <c r="A381" s="3" t="s">
        <v>49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">
      <c r="A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5" x14ac:dyDescent="0.2">
      <c r="A383" s="3"/>
      <c r="B383" s="3" t="s">
        <v>50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5" x14ac:dyDescent="0.2">
      <c r="A384" s="3"/>
      <c r="B384" s="3"/>
      <c r="D384" s="13" t="s">
        <v>142</v>
      </c>
      <c r="E384" s="13"/>
      <c r="G384" s="12">
        <v>9.5000000000000001E-2</v>
      </c>
      <c r="H384" s="12">
        <v>9.5000000000000001E-2</v>
      </c>
      <c r="I384" s="12">
        <v>7.4999999999999997E-2</v>
      </c>
      <c r="J384" s="12">
        <v>0.01</v>
      </c>
      <c r="K384" s="12">
        <v>7.4999999999999997E-3</v>
      </c>
      <c r="L384" s="12">
        <v>7.4999999999999997E-3</v>
      </c>
      <c r="M384" s="12">
        <v>7.4999999999999997E-3</v>
      </c>
      <c r="N384" s="12">
        <v>7.4999999999999997E-3</v>
      </c>
      <c r="O384" s="12">
        <v>7.4999999999999997E-3</v>
      </c>
      <c r="P384" s="12">
        <v>0.01</v>
      </c>
      <c r="Q384" s="12">
        <v>9.5000000000000001E-2</v>
      </c>
      <c r="R384" s="12">
        <v>0.115</v>
      </c>
      <c r="S384" s="12">
        <v>0.115</v>
      </c>
      <c r="T384" s="12">
        <v>0.115</v>
      </c>
      <c r="U384" s="12">
        <v>9.5000000000000001E-2</v>
      </c>
    </row>
    <row r="385" spans="1:57" x14ac:dyDescent="0.2">
      <c r="A385" s="3"/>
      <c r="B385" s="3"/>
      <c r="D385" s="13" t="s">
        <v>143</v>
      </c>
      <c r="E385" s="13"/>
      <c r="G385" s="21">
        <v>0.13</v>
      </c>
      <c r="H385" s="21">
        <v>0.13</v>
      </c>
      <c r="I385" s="21">
        <v>0.1</v>
      </c>
      <c r="J385" s="21">
        <v>0.06</v>
      </c>
      <c r="K385" s="21">
        <v>0.02</v>
      </c>
      <c r="L385" s="21">
        <v>0.02</v>
      </c>
      <c r="M385" s="21">
        <v>0.02</v>
      </c>
      <c r="N385" s="21">
        <v>0.02</v>
      </c>
      <c r="O385" s="21">
        <v>0.02</v>
      </c>
      <c r="P385" s="21">
        <v>0.06</v>
      </c>
      <c r="Q385" s="21">
        <v>0.1</v>
      </c>
      <c r="R385" s="21">
        <v>0.11</v>
      </c>
      <c r="S385" s="21">
        <v>0.13</v>
      </c>
      <c r="T385" s="21">
        <v>0.13</v>
      </c>
      <c r="U385" s="21">
        <v>0.1</v>
      </c>
    </row>
    <row r="386" spans="1:57" x14ac:dyDescent="0.2">
      <c r="A386" s="3"/>
      <c r="B386" s="3"/>
      <c r="D386" s="13" t="s">
        <v>147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57" x14ac:dyDescent="0.2">
      <c r="A387" s="3"/>
      <c r="B387" s="3"/>
      <c r="D387" s="13" t="s">
        <v>140</v>
      </c>
      <c r="E387" s="13"/>
      <c r="G387" s="14" t="s">
        <v>145</v>
      </c>
      <c r="H387" s="14"/>
      <c r="I387" s="14"/>
      <c r="J387" s="17" t="s">
        <v>148</v>
      </c>
      <c r="K387" s="18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57" x14ac:dyDescent="0.2">
      <c r="A388" s="3"/>
      <c r="B388" s="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57" hidden="1" x14ac:dyDescent="0.2">
      <c r="A389" s="3"/>
      <c r="B389" s="3"/>
      <c r="C389" t="s">
        <v>120</v>
      </c>
      <c r="G389" s="10">
        <f>1324+54449+54410</f>
        <v>110183</v>
      </c>
      <c r="H389" s="10">
        <f>1148+54561+49295</f>
        <v>105004</v>
      </c>
      <c r="I389" s="10">
        <f>1243+52973+46052</f>
        <v>100268</v>
      </c>
      <c r="J389" s="10">
        <f>1187+40496+34995</f>
        <v>76678</v>
      </c>
      <c r="K389" s="10">
        <f>775+32204+30925</f>
        <v>63904</v>
      </c>
      <c r="L389" s="10">
        <f>27189+27478</f>
        <v>54667</v>
      </c>
      <c r="M389" s="10">
        <f>26806+27319</f>
        <v>54125</v>
      </c>
      <c r="N389" s="10">
        <f>27546+27514</f>
        <v>55060</v>
      </c>
      <c r="O389" s="10">
        <f>28515+27763</f>
        <v>56278</v>
      </c>
      <c r="P389" s="10">
        <f>23907+29030</f>
        <v>52937</v>
      </c>
      <c r="Q389" s="10">
        <f>3324+6300</f>
        <v>9624</v>
      </c>
      <c r="R389" s="10">
        <f>4397+6431</f>
        <v>10828</v>
      </c>
      <c r="S389" s="10">
        <f>4390+7928</f>
        <v>12318</v>
      </c>
      <c r="T389" s="10">
        <f>3816+7448</f>
        <v>11264</v>
      </c>
      <c r="U389" s="10">
        <f>3405+7431</f>
        <v>10836</v>
      </c>
      <c r="V389" s="6"/>
      <c r="W389" s="6"/>
      <c r="X389" s="6"/>
      <c r="Y389" s="6"/>
    </row>
    <row r="390" spans="1:57" s="7" customFormat="1" x14ac:dyDescent="0.2">
      <c r="C390" t="s">
        <v>120</v>
      </c>
      <c r="G390" s="10">
        <v>3554</v>
      </c>
      <c r="H390" s="10">
        <v>3949</v>
      </c>
      <c r="I390" s="10">
        <v>3145</v>
      </c>
      <c r="J390" s="10">
        <v>2556</v>
      </c>
      <c r="K390" s="10">
        <v>2111</v>
      </c>
      <c r="L390" s="10">
        <v>1874</v>
      </c>
      <c r="M390" s="10">
        <v>1770</v>
      </c>
      <c r="N390" s="10">
        <v>1791</v>
      </c>
      <c r="O390" s="10">
        <v>1892</v>
      </c>
      <c r="P390" s="10">
        <v>1736</v>
      </c>
      <c r="Q390" s="10">
        <f>Q389/30</f>
        <v>320.8</v>
      </c>
      <c r="R390" s="10">
        <f>R389/31</f>
        <v>349.29032258064518</v>
      </c>
      <c r="S390" s="10">
        <f>S389/31</f>
        <v>397.35483870967744</v>
      </c>
      <c r="T390" s="10">
        <f>T389/28</f>
        <v>402.28571428571428</v>
      </c>
      <c r="U390" s="10">
        <f>U389/31</f>
        <v>349.54838709677421</v>
      </c>
      <c r="V390" s="6"/>
      <c r="W390" s="6"/>
      <c r="X390" s="6"/>
      <c r="Y390" s="6"/>
    </row>
    <row r="391" spans="1:57" x14ac:dyDescent="0.2">
      <c r="A391" s="3"/>
      <c r="B391" s="3"/>
      <c r="C391" t="s">
        <v>114</v>
      </c>
      <c r="G391" s="6">
        <v>197</v>
      </c>
      <c r="H391" s="6">
        <v>197</v>
      </c>
      <c r="I391" s="6">
        <v>197</v>
      </c>
      <c r="J391" s="6">
        <v>186</v>
      </c>
      <c r="K391" s="6">
        <v>186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/>
      <c r="W391" s="6"/>
      <c r="X391" s="6"/>
      <c r="Y391" s="6"/>
    </row>
    <row r="392" spans="1:57" x14ac:dyDescent="0.2">
      <c r="A392" s="3"/>
      <c r="B392" s="3"/>
      <c r="C392" t="s">
        <v>3</v>
      </c>
      <c r="G392" s="5" t="s">
        <v>52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">
      <c r="A393" s="3"/>
      <c r="B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57" x14ac:dyDescent="0.2">
      <c r="A394" s="3"/>
      <c r="B394" s="3" t="s">
        <v>51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57" x14ac:dyDescent="0.2">
      <c r="A395" s="3"/>
      <c r="B395" s="3"/>
      <c r="D395" s="13" t="s">
        <v>142</v>
      </c>
      <c r="E395" s="13"/>
      <c r="G395" s="12">
        <v>1.4999999999999999E-2</v>
      </c>
      <c r="H395" s="12">
        <v>1.4999999999999999E-2</v>
      </c>
      <c r="I395" s="12">
        <v>1.4999999999999999E-2</v>
      </c>
      <c r="J395" s="12">
        <v>0.01</v>
      </c>
      <c r="K395" s="12">
        <v>7.4999999999999997E-3</v>
      </c>
      <c r="L395" s="12">
        <v>7.4999999999999997E-3</v>
      </c>
      <c r="M395" s="12">
        <v>7.4999999999999997E-3</v>
      </c>
      <c r="N395" s="12">
        <v>7.4999999999999997E-3</v>
      </c>
      <c r="O395" s="12">
        <v>7.4999999999999997E-3</v>
      </c>
      <c r="P395" s="12">
        <v>0.01</v>
      </c>
      <c r="Q395" s="12">
        <v>1.4999999999999999E-2</v>
      </c>
      <c r="R395" s="12">
        <v>1.4999999999999999E-2</v>
      </c>
      <c r="S395" s="12">
        <v>1.4999999999999999E-2</v>
      </c>
      <c r="T395" s="12">
        <v>1.4999999999999999E-2</v>
      </c>
      <c r="U395" s="12">
        <v>1.4999999999999999E-2</v>
      </c>
    </row>
    <row r="396" spans="1:57" x14ac:dyDescent="0.2">
      <c r="A396" s="3"/>
      <c r="B396" s="3"/>
      <c r="D396" s="13" t="s">
        <v>143</v>
      </c>
      <c r="E396" s="13"/>
      <c r="G396" s="21">
        <v>0.13</v>
      </c>
      <c r="H396" s="21">
        <v>0.13</v>
      </c>
      <c r="I396" s="21">
        <v>0.1</v>
      </c>
      <c r="J396" s="21">
        <v>0.06</v>
      </c>
      <c r="K396" s="21">
        <v>0.02</v>
      </c>
      <c r="L396" s="21">
        <v>0.02</v>
      </c>
      <c r="M396" s="21">
        <v>0.02</v>
      </c>
      <c r="N396" s="21">
        <v>0.02</v>
      </c>
      <c r="O396" s="21">
        <v>0.02</v>
      </c>
      <c r="P396" s="21">
        <v>0.06</v>
      </c>
      <c r="Q396" s="21">
        <v>0.1</v>
      </c>
      <c r="R396" s="21">
        <v>0.11</v>
      </c>
      <c r="S396" s="21">
        <v>0.13</v>
      </c>
      <c r="T396" s="21">
        <v>0.13</v>
      </c>
      <c r="U396" s="21">
        <v>0.1</v>
      </c>
    </row>
    <row r="397" spans="1:57" x14ac:dyDescent="0.2">
      <c r="A397" s="3"/>
      <c r="B397" s="3"/>
      <c r="D397" s="13" t="s">
        <v>147</v>
      </c>
      <c r="E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57" x14ac:dyDescent="0.2">
      <c r="A398" s="3"/>
      <c r="B398" s="3"/>
      <c r="D398" s="13" t="s">
        <v>140</v>
      </c>
      <c r="E398" s="13"/>
      <c r="G398" s="14" t="s">
        <v>145</v>
      </c>
      <c r="H398" s="14"/>
      <c r="I398" s="14"/>
      <c r="J398" s="17" t="s">
        <v>148</v>
      </c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57" x14ac:dyDescent="0.2">
      <c r="A399" s="3"/>
      <c r="B399" s="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hidden="1" x14ac:dyDescent="0.2">
      <c r="A400" s="3"/>
      <c r="B400" s="3"/>
      <c r="C400" t="s">
        <v>120</v>
      </c>
      <c r="G400" s="10">
        <f>9497+16281+332631</f>
        <v>358409</v>
      </c>
      <c r="H400" s="10">
        <f>9482+14660+302245</f>
        <v>326387</v>
      </c>
      <c r="I400" s="10">
        <f>9497+11960+310684</f>
        <v>332141</v>
      </c>
      <c r="J400" s="10">
        <f>8080+10797+18257</f>
        <v>37134</v>
      </c>
      <c r="K400" s="10">
        <f>6693+9947+15077</f>
        <v>31717</v>
      </c>
      <c r="L400" s="10">
        <f>6788+8933+12919</f>
        <v>28640</v>
      </c>
      <c r="M400" s="10">
        <f>7004+9333+12345</f>
        <v>28682</v>
      </c>
      <c r="N400" s="10">
        <f>4136+9675+12040</f>
        <v>25851</v>
      </c>
      <c r="O400" s="10">
        <f>4178+24232+12569</f>
        <v>40979</v>
      </c>
      <c r="P400" s="10">
        <f>21804+14143</f>
        <v>35947</v>
      </c>
      <c r="Q400" s="10">
        <f>5544</f>
        <v>5544</v>
      </c>
      <c r="R400" s="10">
        <f>3728</f>
        <v>3728</v>
      </c>
      <c r="S400" s="10">
        <f>3243</f>
        <v>3243</v>
      </c>
      <c r="T400" s="10">
        <f>2690</f>
        <v>2690</v>
      </c>
      <c r="U400" s="10">
        <f>2623</f>
        <v>2623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57" s="7" customFormat="1" x14ac:dyDescent="0.2">
      <c r="C401" t="s">
        <v>120</v>
      </c>
      <c r="G401" s="10">
        <v>11562</v>
      </c>
      <c r="H401" s="10">
        <v>11327</v>
      </c>
      <c r="I401" s="10">
        <v>10604</v>
      </c>
      <c r="J401" s="10">
        <v>1167</v>
      </c>
      <c r="K401" s="10">
        <v>891</v>
      </c>
      <c r="L401" s="10">
        <v>769</v>
      </c>
      <c r="M401" s="10">
        <v>704</v>
      </c>
      <c r="N401" s="10">
        <v>569</v>
      </c>
      <c r="O401" s="10">
        <v>715</v>
      </c>
      <c r="P401" s="10">
        <v>531</v>
      </c>
      <c r="Q401" s="10">
        <f>Q400/30</f>
        <v>184.8</v>
      </c>
      <c r="R401" s="10">
        <f>R400/31</f>
        <v>120.25806451612904</v>
      </c>
      <c r="S401" s="10">
        <f>S400/31</f>
        <v>104.61290322580645</v>
      </c>
      <c r="T401" s="10">
        <f>T400/28</f>
        <v>96.071428571428569</v>
      </c>
      <c r="U401" s="10">
        <f>U400/31</f>
        <v>84.612903225806448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spans="1:57" x14ac:dyDescent="0.2">
      <c r="A402" s="3"/>
      <c r="B402" s="3"/>
      <c r="C402" t="s">
        <v>114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spans="1:57" x14ac:dyDescent="0.2">
      <c r="A403" s="3"/>
      <c r="B403" s="3"/>
      <c r="C403" t="s">
        <v>3</v>
      </c>
      <c r="G403" s="5" t="s">
        <v>53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57" x14ac:dyDescent="0.2">
      <c r="A404" s="3"/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57" x14ac:dyDescent="0.2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57" x14ac:dyDescent="0.2">
      <c r="A406" s="3" t="s">
        <v>54</v>
      </c>
      <c r="B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57" x14ac:dyDescent="0.2">
      <c r="A407" s="3"/>
      <c r="B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57" x14ac:dyDescent="0.2">
      <c r="A408" s="3"/>
      <c r="B408" s="3" t="s">
        <v>55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57" x14ac:dyDescent="0.2">
      <c r="A409" s="3"/>
      <c r="B409" s="3"/>
      <c r="D409" t="s">
        <v>158</v>
      </c>
      <c r="G409" s="5">
        <v>0.06</v>
      </c>
      <c r="H409" s="5">
        <v>0.01</v>
      </c>
      <c r="I409" s="5">
        <v>0.01</v>
      </c>
      <c r="J409" s="5">
        <v>0.01</v>
      </c>
      <c r="K409" s="5">
        <v>0.01</v>
      </c>
      <c r="L409" s="5">
        <v>0.01</v>
      </c>
      <c r="M409" s="5">
        <v>0.01</v>
      </c>
      <c r="N409" s="5">
        <v>0.01</v>
      </c>
      <c r="O409" s="5">
        <v>0.01</v>
      </c>
      <c r="P409" s="5">
        <v>0.01</v>
      </c>
      <c r="Q409" s="5">
        <v>0.01</v>
      </c>
      <c r="R409" s="5">
        <v>0.01</v>
      </c>
      <c r="S409" s="5">
        <v>0.01</v>
      </c>
      <c r="T409" s="5">
        <v>0.01</v>
      </c>
      <c r="U409" s="5">
        <v>0.01</v>
      </c>
    </row>
    <row r="410" spans="1:57" x14ac:dyDescent="0.2">
      <c r="A410" s="3"/>
      <c r="B410" s="3"/>
      <c r="D410" s="13" t="s">
        <v>146</v>
      </c>
      <c r="G410" s="12">
        <v>2.5000000000000001E-2</v>
      </c>
      <c r="H410" s="12">
        <v>2.5000000000000001E-2</v>
      </c>
      <c r="I410" s="12">
        <v>2.5000000000000001E-2</v>
      </c>
      <c r="J410" s="12">
        <v>0.01</v>
      </c>
      <c r="K410" s="12">
        <v>0.01</v>
      </c>
      <c r="L410" s="12">
        <v>0.01</v>
      </c>
      <c r="M410" s="12">
        <v>0.01</v>
      </c>
      <c r="N410" s="12">
        <v>0.01</v>
      </c>
      <c r="O410" s="12">
        <v>0.01</v>
      </c>
      <c r="P410" s="12">
        <v>0.01</v>
      </c>
      <c r="Q410" s="12">
        <v>0.03</v>
      </c>
      <c r="R410" s="12">
        <v>0.03</v>
      </c>
      <c r="S410" s="12">
        <v>0.03</v>
      </c>
      <c r="T410" s="12">
        <v>0.03</v>
      </c>
      <c r="U410" s="12">
        <v>0.03</v>
      </c>
    </row>
    <row r="411" spans="1:57" x14ac:dyDescent="0.2">
      <c r="A411" s="3"/>
      <c r="B411" s="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57" hidden="1" x14ac:dyDescent="0.2">
      <c r="A412" s="3"/>
      <c r="B412" s="3"/>
      <c r="C412" t="s">
        <v>120</v>
      </c>
      <c r="G412" s="10">
        <f>7087+27916+4164+47023</f>
        <v>86190</v>
      </c>
      <c r="H412" s="10">
        <f>6158+25495+4819+43765</f>
        <v>80237</v>
      </c>
      <c r="I412" s="10">
        <f>5882+24627+3288+41550</f>
        <v>75347</v>
      </c>
      <c r="J412" s="10">
        <f>4739+18344+3089+26820</f>
        <v>52992</v>
      </c>
      <c r="K412" s="10">
        <f>3956+14954+1646+22692</f>
        <v>43248</v>
      </c>
      <c r="L412" s="10">
        <f>3489+14518+610+20850</f>
        <v>39467</v>
      </c>
      <c r="M412" s="10">
        <f>3376+14445+409+19747</f>
        <v>37977</v>
      </c>
      <c r="N412" s="10">
        <f>3495+14423+403+20615</f>
        <v>38936</v>
      </c>
      <c r="O412" s="10">
        <f>1890+14607+495+22140</f>
        <v>39132</v>
      </c>
      <c r="P412" s="10">
        <f>2899+14341+1024+23932</f>
        <v>42196</v>
      </c>
      <c r="Q412" s="10">
        <f>2502+3600+1009</f>
        <v>7111</v>
      </c>
      <c r="R412" s="10">
        <f>2227+5890+1086</f>
        <v>9203</v>
      </c>
      <c r="S412" s="10">
        <f>2526+8680+272</f>
        <v>11478</v>
      </c>
      <c r="T412" s="10">
        <f>2526+6440+2089</f>
        <v>11055</v>
      </c>
      <c r="U412" s="10">
        <f>2188+6820+173</f>
        <v>9181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57" s="7" customFormat="1" x14ac:dyDescent="0.2">
      <c r="C413" t="s">
        <v>120</v>
      </c>
      <c r="G413" s="10">
        <v>4959</v>
      </c>
      <c r="H413" s="10">
        <v>4561</v>
      </c>
      <c r="I413" s="10">
        <v>4062</v>
      </c>
      <c r="J413" s="10">
        <v>2959</v>
      </c>
      <c r="K413" s="10">
        <v>2133</v>
      </c>
      <c r="L413" s="10">
        <v>2107</v>
      </c>
      <c r="M413" s="10">
        <v>1850</v>
      </c>
      <c r="N413" s="10">
        <v>2020</v>
      </c>
      <c r="O413" s="10">
        <v>2059</v>
      </c>
      <c r="P413" s="10">
        <v>2132</v>
      </c>
      <c r="Q413" s="10">
        <v>1172</v>
      </c>
      <c r="R413" s="10">
        <v>913</v>
      </c>
      <c r="S413" s="10">
        <v>945</v>
      </c>
      <c r="T413" s="10">
        <v>1011</v>
      </c>
      <c r="U413" s="10">
        <v>833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57" x14ac:dyDescent="0.2">
      <c r="A414" s="3"/>
      <c r="B414" s="3"/>
      <c r="C414" t="s">
        <v>114</v>
      </c>
      <c r="E414" t="s">
        <v>132</v>
      </c>
      <c r="G414" s="6">
        <v>145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57" x14ac:dyDescent="0.2">
      <c r="A415" s="3"/>
      <c r="B415" s="3"/>
      <c r="C415" t="s">
        <v>3</v>
      </c>
      <c r="G415" s="5" t="s">
        <v>69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57" x14ac:dyDescent="0.2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">
      <c r="A417" s="3" t="s">
        <v>56</v>
      </c>
      <c r="B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">
      <c r="A418" s="3"/>
      <c r="B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5" x14ac:dyDescent="0.2">
      <c r="A419" s="3"/>
      <c r="B419" s="3" t="s">
        <v>73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5" x14ac:dyDescent="0.2">
      <c r="A420" s="3"/>
      <c r="B420" s="3"/>
      <c r="D420" s="22" t="s">
        <v>156</v>
      </c>
      <c r="G420" s="19">
        <v>0.04</v>
      </c>
      <c r="H420" s="19">
        <v>7.4999999999999997E-3</v>
      </c>
      <c r="I420" s="19">
        <v>7.4999999999999997E-3</v>
      </c>
      <c r="J420" s="19">
        <v>7.4999999999999997E-3</v>
      </c>
      <c r="K420" s="19">
        <v>7.4999999999999997E-3</v>
      </c>
      <c r="L420" s="19">
        <v>7.4999999999999997E-3</v>
      </c>
      <c r="M420" s="19">
        <v>7.4999999999999997E-3</v>
      </c>
      <c r="N420" s="19">
        <v>7.4999999999999997E-3</v>
      </c>
      <c r="O420" s="19">
        <v>7.4999999999999997E-3</v>
      </c>
      <c r="P420" s="19">
        <v>7.4999999999999997E-3</v>
      </c>
      <c r="Q420" s="19">
        <v>7.4999999999999997E-3</v>
      </c>
      <c r="R420" s="19">
        <v>7.4999999999999997E-3</v>
      </c>
      <c r="S420" s="19">
        <v>7.4999999999999997E-3</v>
      </c>
      <c r="T420" s="19">
        <v>7.4999999999999997E-3</v>
      </c>
      <c r="U420" s="19">
        <v>7.4999999999999997E-3</v>
      </c>
    </row>
    <row r="421" spans="1:25" x14ac:dyDescent="0.2">
      <c r="A421" s="3"/>
      <c r="B421" s="3"/>
      <c r="D421" s="22" t="s">
        <v>157</v>
      </c>
      <c r="G421" s="19">
        <v>0.04</v>
      </c>
      <c r="H421" s="19">
        <v>1.7500000000000002E-2</v>
      </c>
      <c r="I421" s="19">
        <v>1.7500000000000002E-2</v>
      </c>
      <c r="J421" s="19">
        <v>1.7500000000000002E-2</v>
      </c>
      <c r="K421" s="19">
        <v>1.7500000000000002E-2</v>
      </c>
      <c r="L421" s="19">
        <v>1.7500000000000002E-2</v>
      </c>
      <c r="M421" s="19">
        <v>1.7500000000000002E-2</v>
      </c>
      <c r="N421" s="19">
        <v>1.7500000000000002E-2</v>
      </c>
      <c r="O421" s="19">
        <v>1.7500000000000002E-2</v>
      </c>
      <c r="P421" s="19">
        <v>1.7500000000000002E-2</v>
      </c>
      <c r="Q421" s="19">
        <v>1.7500000000000002E-2</v>
      </c>
      <c r="R421" s="19">
        <v>1.7500000000000002E-2</v>
      </c>
      <c r="S421" s="19">
        <v>1.7500000000000002E-2</v>
      </c>
      <c r="T421" s="19">
        <v>1.7500000000000002E-2</v>
      </c>
      <c r="U421" s="19">
        <v>1.7500000000000002E-2</v>
      </c>
    </row>
    <row r="422" spans="1:25" x14ac:dyDescent="0.2">
      <c r="A422" s="3"/>
      <c r="B422" s="3"/>
      <c r="D422" s="22" t="s">
        <v>168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5" x14ac:dyDescent="0.2">
      <c r="A423" s="3"/>
      <c r="B423" s="3"/>
      <c r="D423" t="s">
        <v>169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idden="1" x14ac:dyDescent="0.2">
      <c r="A424" s="3"/>
      <c r="B424" s="3"/>
      <c r="C424" t="s">
        <v>121</v>
      </c>
      <c r="G424" s="10">
        <f>499401+169611</f>
        <v>669012</v>
      </c>
      <c r="H424" s="10">
        <f>384499+177465</f>
        <v>561964</v>
      </c>
      <c r="I424" s="10">
        <f>246879+149191</f>
        <v>396070</v>
      </c>
      <c r="J424" s="10">
        <f>113692+210504</f>
        <v>324196</v>
      </c>
      <c r="K424" s="10">
        <f>51932+209903</f>
        <v>261835</v>
      </c>
      <c r="L424" s="10">
        <f>130190+36192</f>
        <v>166382</v>
      </c>
      <c r="M424" s="10">
        <f>155064+33912</f>
        <v>188976</v>
      </c>
      <c r="N424" s="10">
        <f>164241+33760</f>
        <v>198001</v>
      </c>
      <c r="O424" s="10">
        <f>163981+27690</f>
        <v>191671</v>
      </c>
      <c r="P424" s="10">
        <f>152450+37452</f>
        <v>189902</v>
      </c>
      <c r="Q424" s="10">
        <f>244778+74296</f>
        <v>319074</v>
      </c>
      <c r="R424" s="10">
        <f>132736+112577</f>
        <v>245313</v>
      </c>
      <c r="S424" s="10">
        <v>225262</v>
      </c>
      <c r="T424" s="10">
        <v>166697</v>
      </c>
      <c r="U424" s="10">
        <v>116507</v>
      </c>
      <c r="V424" s="6"/>
      <c r="W424" s="6"/>
      <c r="X424" s="6"/>
      <c r="Y424" s="6"/>
    </row>
    <row r="425" spans="1:25" x14ac:dyDescent="0.2">
      <c r="A425" s="3"/>
      <c r="B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6"/>
      <c r="W425" s="6"/>
      <c r="X425" s="6"/>
      <c r="Y425" s="6"/>
    </row>
    <row r="426" spans="1:25" s="7" customFormat="1" x14ac:dyDescent="0.2">
      <c r="C426" t="s">
        <v>121</v>
      </c>
      <c r="G426" s="10">
        <v>9304</v>
      </c>
      <c r="H426" s="10">
        <v>10970</v>
      </c>
      <c r="I426" s="10">
        <v>11900</v>
      </c>
      <c r="J426" s="10">
        <v>10067</v>
      </c>
      <c r="K426" s="10">
        <v>5775</v>
      </c>
      <c r="L426" s="10">
        <v>4266</v>
      </c>
      <c r="M426" s="10">
        <v>3873</v>
      </c>
      <c r="N426" s="10">
        <v>3789</v>
      </c>
      <c r="O426" s="10">
        <v>3311</v>
      </c>
      <c r="P426" s="10">
        <v>3814</v>
      </c>
      <c r="Q426" s="10">
        <v>3865</v>
      </c>
      <c r="R426" s="10">
        <v>3926</v>
      </c>
      <c r="S426" s="10">
        <v>3801</v>
      </c>
      <c r="T426" s="10">
        <v>3540</v>
      </c>
      <c r="U426" s="10">
        <v>3373</v>
      </c>
      <c r="V426" s="6"/>
      <c r="W426" s="6"/>
      <c r="X426" s="6"/>
      <c r="Y426" s="6"/>
    </row>
    <row r="427" spans="1:25" x14ac:dyDescent="0.2">
      <c r="A427" s="3"/>
      <c r="B427" s="3"/>
      <c r="C427" t="s">
        <v>114</v>
      </c>
      <c r="E427" t="s">
        <v>132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/>
      <c r="W427" s="6"/>
      <c r="X427" s="6"/>
      <c r="Y427" s="6"/>
    </row>
    <row r="428" spans="1:25" x14ac:dyDescent="0.2">
      <c r="A428" s="3"/>
      <c r="B428" s="3"/>
      <c r="C428" t="s">
        <v>3</v>
      </c>
      <c r="G428" s="5" t="s">
        <v>77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5" x14ac:dyDescent="0.2">
      <c r="A429" s="3"/>
      <c r="B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5" x14ac:dyDescent="0.2">
      <c r="A430" s="3"/>
      <c r="B430" s="3" t="s">
        <v>57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x14ac:dyDescent="0.2">
      <c r="A431" s="3"/>
      <c r="B431" s="3"/>
      <c r="D431" s="22" t="s">
        <v>156</v>
      </c>
      <c r="G431" s="19">
        <v>0.04</v>
      </c>
      <c r="H431" s="19">
        <v>7.4999999999999997E-3</v>
      </c>
      <c r="I431" s="19">
        <v>7.4999999999999997E-3</v>
      </c>
      <c r="J431" s="19">
        <v>7.4999999999999997E-3</v>
      </c>
      <c r="K431" s="19">
        <v>7.4999999999999997E-3</v>
      </c>
      <c r="L431" s="19">
        <v>7.4999999999999997E-3</v>
      </c>
      <c r="M431" s="19">
        <v>7.4999999999999997E-3</v>
      </c>
      <c r="N431" s="19">
        <v>7.4999999999999997E-3</v>
      </c>
      <c r="O431" s="19">
        <v>7.4999999999999997E-3</v>
      </c>
      <c r="P431" s="19">
        <v>7.4999999999999997E-3</v>
      </c>
      <c r="Q431" s="19">
        <v>7.4999999999999997E-3</v>
      </c>
      <c r="R431" s="19">
        <v>7.4999999999999997E-3</v>
      </c>
      <c r="S431" s="19">
        <v>7.4999999999999997E-3</v>
      </c>
      <c r="T431" s="19">
        <v>7.4999999999999997E-3</v>
      </c>
      <c r="U431" s="19">
        <v>7.4999999999999997E-3</v>
      </c>
    </row>
    <row r="432" spans="1:25" x14ac:dyDescent="0.2">
      <c r="A432" s="3"/>
      <c r="B432" s="3"/>
      <c r="D432" s="22" t="s">
        <v>167</v>
      </c>
      <c r="G432" s="12">
        <v>-0.22</v>
      </c>
      <c r="H432" s="12">
        <v>-0.22</v>
      </c>
      <c r="I432" s="12">
        <v>-7.0000000000000007E-2</v>
      </c>
      <c r="J432" s="12">
        <v>-0.03</v>
      </c>
      <c r="K432" s="12">
        <v>-0.03</v>
      </c>
      <c r="L432" s="12">
        <v>-0.03</v>
      </c>
      <c r="M432" s="12">
        <v>-0.03</v>
      </c>
      <c r="N432" s="12">
        <v>-0.03</v>
      </c>
      <c r="O432" s="12">
        <v>-0.03</v>
      </c>
      <c r="P432" s="12">
        <v>-0.03</v>
      </c>
      <c r="Q432" s="12">
        <v>-0.06</v>
      </c>
      <c r="R432" s="12">
        <v>-0.14000000000000001</v>
      </c>
      <c r="S432" s="12">
        <v>-0.17</v>
      </c>
      <c r="T432" s="12">
        <v>-0.14000000000000001</v>
      </c>
      <c r="U432" s="12">
        <v>-0.06</v>
      </c>
    </row>
    <row r="433" spans="1:46" x14ac:dyDescent="0.2">
      <c r="A433" s="3"/>
      <c r="B433" s="3"/>
      <c r="D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46" x14ac:dyDescent="0.2">
      <c r="A434" s="3"/>
      <c r="B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hidden="1" x14ac:dyDescent="0.2">
      <c r="A435" s="3"/>
      <c r="B435" s="3"/>
      <c r="C435" t="s">
        <v>120</v>
      </c>
      <c r="G435" s="8">
        <f>3500+4500</f>
        <v>8000</v>
      </c>
      <c r="H435" s="8">
        <f>3500+4500</f>
        <v>8000</v>
      </c>
      <c r="I435" s="8">
        <f>3500+4500</f>
        <v>8000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46" s="7" customFormat="1" x14ac:dyDescent="0.2">
      <c r="C436" t="s">
        <v>120</v>
      </c>
      <c r="G436" s="9">
        <v>1258</v>
      </c>
      <c r="H436" s="9">
        <v>1138</v>
      </c>
      <c r="I436" s="9">
        <v>1065</v>
      </c>
      <c r="J436" s="9">
        <f>J435/30</f>
        <v>0</v>
      </c>
      <c r="K436" s="9">
        <f>K435/31</f>
        <v>0</v>
      </c>
      <c r="L436" s="9">
        <f>L435/30</f>
        <v>0</v>
      </c>
      <c r="M436" s="9">
        <f>M435/31</f>
        <v>0</v>
      </c>
      <c r="N436" s="9">
        <f>N435/31</f>
        <v>0</v>
      </c>
      <c r="O436" s="9">
        <f>O435/30</f>
        <v>0</v>
      </c>
      <c r="P436" s="9">
        <f>P435/31</f>
        <v>0</v>
      </c>
      <c r="Q436" s="9">
        <f>Q435/30</f>
        <v>0</v>
      </c>
      <c r="R436" s="9">
        <f>R435/31</f>
        <v>0</v>
      </c>
      <c r="S436" s="9">
        <f>S435/31</f>
        <v>0</v>
      </c>
      <c r="T436" s="9">
        <f>T435/28</f>
        <v>0</v>
      </c>
      <c r="U436" s="9">
        <f>U435/31</f>
        <v>0</v>
      </c>
    </row>
    <row r="437" spans="1:46" x14ac:dyDescent="0.2">
      <c r="A437" s="3"/>
      <c r="B437" s="3"/>
      <c r="C437" t="s">
        <v>114</v>
      </c>
      <c r="G437" s="6">
        <v>150</v>
      </c>
      <c r="H437" s="6">
        <v>150</v>
      </c>
      <c r="I437" s="6">
        <v>150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</row>
    <row r="438" spans="1:46" x14ac:dyDescent="0.2">
      <c r="A438" s="3"/>
      <c r="B438" s="3"/>
      <c r="C438" t="s">
        <v>3</v>
      </c>
      <c r="G438" s="5" t="s">
        <v>66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46" x14ac:dyDescent="0.2">
      <c r="A439" s="3"/>
      <c r="B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46" x14ac:dyDescent="0.2">
      <c r="A440" s="3"/>
      <c r="B440" s="3" t="s">
        <v>58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46" x14ac:dyDescent="0.2">
      <c r="A441" s="3"/>
      <c r="B441" s="3"/>
      <c r="D441" s="22" t="s">
        <v>156</v>
      </c>
      <c r="G441" s="19">
        <v>0.04</v>
      </c>
      <c r="H441" s="19">
        <v>7.4999999999999997E-3</v>
      </c>
      <c r="I441" s="19">
        <v>7.4999999999999997E-3</v>
      </c>
      <c r="J441" s="19">
        <v>7.4999999999999997E-3</v>
      </c>
      <c r="K441" s="19">
        <v>7.4999999999999997E-3</v>
      </c>
      <c r="L441" s="19">
        <v>7.4999999999999997E-3</v>
      </c>
      <c r="M441" s="19">
        <v>7.4999999999999997E-3</v>
      </c>
      <c r="N441" s="19">
        <v>7.4999999999999997E-3</v>
      </c>
      <c r="O441" s="19">
        <v>7.4999999999999997E-3</v>
      </c>
      <c r="P441" s="19">
        <v>7.4999999999999997E-3</v>
      </c>
      <c r="Q441" s="19">
        <v>7.4999999999999997E-3</v>
      </c>
      <c r="R441" s="19">
        <v>7.4999999999999997E-3</v>
      </c>
      <c r="S441" s="19">
        <v>7.4999999999999997E-3</v>
      </c>
      <c r="T441" s="19">
        <v>7.4999999999999997E-3</v>
      </c>
      <c r="U441" s="19">
        <v>7.4999999999999997E-3</v>
      </c>
    </row>
    <row r="442" spans="1:46" x14ac:dyDescent="0.2">
      <c r="A442" s="3"/>
      <c r="B442" s="3"/>
      <c r="D442" s="22" t="s">
        <v>167</v>
      </c>
      <c r="G442" s="12">
        <v>-0.2</v>
      </c>
      <c r="H442" s="12">
        <v>-0.2</v>
      </c>
      <c r="I442" s="12">
        <v>-0.05</v>
      </c>
      <c r="J442" s="12">
        <v>-0.01</v>
      </c>
      <c r="K442" s="12">
        <v>-0.01</v>
      </c>
      <c r="L442" s="12">
        <v>-0.01</v>
      </c>
      <c r="M442" s="12">
        <v>-0.01</v>
      </c>
      <c r="N442" s="12">
        <v>-0.01</v>
      </c>
      <c r="O442" s="12">
        <v>-0.01</v>
      </c>
      <c r="P442" s="12">
        <v>-0.01</v>
      </c>
      <c r="Q442" s="12">
        <v>-0.04</v>
      </c>
      <c r="R442" s="12">
        <v>-0.12</v>
      </c>
      <c r="S442" s="12">
        <v>-0.15</v>
      </c>
      <c r="T442" s="12">
        <v>-0.12</v>
      </c>
      <c r="U442" s="12">
        <v>-0.04</v>
      </c>
    </row>
    <row r="443" spans="1:46" x14ac:dyDescent="0.2">
      <c r="A443" s="3"/>
      <c r="B443" s="3"/>
      <c r="D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46" x14ac:dyDescent="0.2">
      <c r="A444" s="3"/>
      <c r="B444" s="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idden="1" x14ac:dyDescent="0.2">
      <c r="A445" s="3"/>
      <c r="B445" s="3"/>
      <c r="C445" t="s">
        <v>120</v>
      </c>
      <c r="G445" s="10">
        <f>240184+363+4477</f>
        <v>245024</v>
      </c>
      <c r="H445" s="10">
        <f>189853+414+4408</f>
        <v>194675</v>
      </c>
      <c r="I445" s="10">
        <f>166813+239+3404</f>
        <v>170456</v>
      </c>
      <c r="J445" s="10">
        <f>85167+2379+2292</f>
        <v>89838</v>
      </c>
      <c r="K445" s="10">
        <f>43589+162+762</f>
        <v>44513</v>
      </c>
      <c r="L445" s="10">
        <f>23204+76+538</f>
        <v>23818</v>
      </c>
      <c r="M445" s="10">
        <f>14589+77+439</f>
        <v>15105</v>
      </c>
      <c r="N445" s="10">
        <f>11893+77+484</f>
        <v>12454</v>
      </c>
      <c r="O445" s="10">
        <f>12111+75+449</f>
        <v>12635</v>
      </c>
      <c r="P445" s="10">
        <f>20267+3+327</f>
        <v>20597</v>
      </c>
      <c r="Q445" s="10">
        <f>27297</f>
        <v>27297</v>
      </c>
      <c r="R445" s="10">
        <f>29474</f>
        <v>29474</v>
      </c>
      <c r="S445" s="10">
        <f>31418</f>
        <v>31418</v>
      </c>
      <c r="T445" s="10">
        <f>19314</f>
        <v>19314</v>
      </c>
      <c r="U445" s="10">
        <f>7119</f>
        <v>7119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s="7" customFormat="1" x14ac:dyDescent="0.2">
      <c r="C446" t="s">
        <v>120</v>
      </c>
      <c r="G446" s="10">
        <v>8101</v>
      </c>
      <c r="H446" s="10">
        <v>6880</v>
      </c>
      <c r="I446" s="10">
        <v>5636</v>
      </c>
      <c r="J446" s="10">
        <v>3082</v>
      </c>
      <c r="K446" s="10">
        <v>1490</v>
      </c>
      <c r="L446" s="10">
        <v>839</v>
      </c>
      <c r="M446" s="10">
        <v>528</v>
      </c>
      <c r="N446" s="10">
        <v>442</v>
      </c>
      <c r="O446" s="10">
        <v>460</v>
      </c>
      <c r="P446" s="10">
        <v>713</v>
      </c>
      <c r="Q446" s="10">
        <v>972</v>
      </c>
      <c r="R446" s="10">
        <v>1017</v>
      </c>
      <c r="S446" s="10">
        <v>1075</v>
      </c>
      <c r="T446" s="10">
        <v>756</v>
      </c>
      <c r="U446" s="10">
        <v>287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x14ac:dyDescent="0.2">
      <c r="A447" s="3"/>
      <c r="B447" s="3"/>
      <c r="C447" t="s">
        <v>114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x14ac:dyDescent="0.2">
      <c r="A448" s="3"/>
      <c r="B448" s="3"/>
      <c r="C448" t="s">
        <v>3</v>
      </c>
      <c r="G448" s="5" t="s">
        <v>67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4" x14ac:dyDescent="0.2">
      <c r="A449" s="3"/>
      <c r="B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4" x14ac:dyDescent="0.2">
      <c r="A450" s="3"/>
      <c r="B450" s="3" t="s">
        <v>59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4" x14ac:dyDescent="0.2">
      <c r="A451" s="3"/>
      <c r="B451" s="3"/>
      <c r="D451" s="22" t="s">
        <v>156</v>
      </c>
      <c r="G451" s="19">
        <v>0.04</v>
      </c>
      <c r="H451" s="19">
        <v>7.4999999999999997E-3</v>
      </c>
      <c r="I451" s="19">
        <v>7.4999999999999997E-3</v>
      </c>
      <c r="J451" s="19">
        <v>7.4999999999999997E-3</v>
      </c>
      <c r="K451" s="19">
        <v>7.4999999999999997E-3</v>
      </c>
      <c r="L451" s="19">
        <v>7.4999999999999997E-3</v>
      </c>
      <c r="M451" s="19">
        <v>7.4999999999999997E-3</v>
      </c>
      <c r="N451" s="19">
        <v>7.4999999999999997E-3</v>
      </c>
      <c r="O451" s="19">
        <v>7.4999999999999997E-3</v>
      </c>
      <c r="P451" s="19">
        <v>7.4999999999999997E-3</v>
      </c>
      <c r="Q451" s="19">
        <v>7.4999999999999997E-3</v>
      </c>
      <c r="R451" s="19">
        <v>7.4999999999999997E-3</v>
      </c>
      <c r="S451" s="19">
        <v>7.4999999999999997E-3</v>
      </c>
      <c r="T451" s="19">
        <v>7.4999999999999997E-3</v>
      </c>
      <c r="U451" s="19">
        <v>7.4999999999999997E-3</v>
      </c>
    </row>
    <row r="452" spans="1:24" x14ac:dyDescent="0.2">
      <c r="A452" s="3"/>
      <c r="B452" s="3"/>
      <c r="D452" s="22" t="s">
        <v>167</v>
      </c>
      <c r="G452" s="12">
        <v>0.4</v>
      </c>
      <c r="H452" s="12">
        <v>0.16</v>
      </c>
      <c r="I452" s="12">
        <v>0.08</v>
      </c>
      <c r="J452" s="12">
        <v>0.01</v>
      </c>
      <c r="K452" s="12">
        <v>0.01</v>
      </c>
      <c r="L452" s="12">
        <v>0.01</v>
      </c>
      <c r="M452" s="12">
        <v>0.01</v>
      </c>
      <c r="N452" s="12">
        <v>0.01</v>
      </c>
      <c r="O452" s="12">
        <v>0.01</v>
      </c>
      <c r="P452" s="12">
        <v>0.01</v>
      </c>
      <c r="Q452" s="12">
        <v>0.04</v>
      </c>
      <c r="R452" s="12">
        <v>0.04</v>
      </c>
      <c r="S452" s="12">
        <v>0.04</v>
      </c>
      <c r="T452" s="12">
        <v>0.04</v>
      </c>
      <c r="U452" s="12">
        <v>0.04</v>
      </c>
    </row>
    <row r="453" spans="1:24" x14ac:dyDescent="0.2">
      <c r="A453" s="3"/>
      <c r="B453" s="3"/>
      <c r="D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x14ac:dyDescent="0.2">
      <c r="A454" s="3"/>
      <c r="B454" s="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idden="1" x14ac:dyDescent="0.2">
      <c r="A455" s="3"/>
      <c r="B455" s="3"/>
      <c r="C455" t="s">
        <v>120</v>
      </c>
      <c r="G455" s="10">
        <f>5782+9028+43507</f>
        <v>58317</v>
      </c>
      <c r="H455" s="10">
        <f>5075+7482+40769</f>
        <v>53326</v>
      </c>
      <c r="I455" s="10">
        <f>3995+7174+37839</f>
        <v>49008</v>
      </c>
      <c r="J455" s="10">
        <f>791+2563+26146</f>
        <v>29500</v>
      </c>
      <c r="K455" s="10">
        <f>632+1727+16450</f>
        <v>18809</v>
      </c>
      <c r="L455" s="10">
        <f>602+1497+13439</f>
        <v>15538</v>
      </c>
      <c r="M455" s="10">
        <f>611+1402+12551</f>
        <v>14564</v>
      </c>
      <c r="N455" s="10">
        <f>611+1359+12546</f>
        <v>14516</v>
      </c>
      <c r="O455" s="10">
        <f>596+1358+11570</f>
        <v>13524</v>
      </c>
      <c r="P455" s="10">
        <f>556+996+14928</f>
        <v>16480</v>
      </c>
      <c r="Q455" s="10">
        <f>536+754+18569</f>
        <v>19859</v>
      </c>
      <c r="R455" s="10">
        <f>548+767+20604</f>
        <v>21919</v>
      </c>
      <c r="S455" s="10">
        <f>548+767+19194</f>
        <v>20509</v>
      </c>
      <c r="T455" s="10">
        <f>512+728+18612</f>
        <v>19852</v>
      </c>
      <c r="U455" s="10">
        <f>544+767+17898</f>
        <v>19209</v>
      </c>
      <c r="V455" s="6"/>
      <c r="W455" s="6"/>
      <c r="X455" s="6"/>
    </row>
    <row r="456" spans="1:24" s="7" customFormat="1" x14ac:dyDescent="0.2">
      <c r="C456" t="s">
        <v>120</v>
      </c>
      <c r="G456" s="10">
        <v>233</v>
      </c>
      <c r="H456" s="10">
        <v>272</v>
      </c>
      <c r="I456" s="10">
        <v>245</v>
      </c>
      <c r="J456" s="10">
        <v>89</v>
      </c>
      <c r="K456" s="10">
        <v>59</v>
      </c>
      <c r="L456" s="10">
        <v>54</v>
      </c>
      <c r="M456" s="10">
        <v>49</v>
      </c>
      <c r="N456" s="10">
        <v>44</v>
      </c>
      <c r="O456" s="10">
        <v>45</v>
      </c>
      <c r="P456" s="10">
        <v>32</v>
      </c>
      <c r="Q456" s="10">
        <v>25</v>
      </c>
      <c r="R456" s="10">
        <v>25</v>
      </c>
      <c r="S456" s="10">
        <v>25</v>
      </c>
      <c r="T456" s="10">
        <v>26</v>
      </c>
      <c r="U456" s="10">
        <v>25</v>
      </c>
      <c r="V456" s="6"/>
      <c r="W456" s="6"/>
      <c r="X456" s="6"/>
    </row>
    <row r="457" spans="1:24" x14ac:dyDescent="0.2">
      <c r="A457" s="3"/>
      <c r="B457" s="3"/>
      <c r="C457" t="s">
        <v>114</v>
      </c>
      <c r="G457" s="6">
        <v>572</v>
      </c>
      <c r="H457" s="6">
        <v>572</v>
      </c>
      <c r="I457" s="6">
        <v>572</v>
      </c>
      <c r="J457" s="6">
        <v>572</v>
      </c>
      <c r="K457" s="6">
        <v>572</v>
      </c>
      <c r="L457" s="6">
        <v>572</v>
      </c>
      <c r="M457" s="6">
        <v>572</v>
      </c>
      <c r="N457" s="6">
        <v>572</v>
      </c>
      <c r="O457" s="6">
        <v>572</v>
      </c>
      <c r="P457" s="6">
        <v>572</v>
      </c>
      <c r="Q457" s="6">
        <v>572</v>
      </c>
      <c r="R457" s="6">
        <v>572</v>
      </c>
      <c r="S457" s="6">
        <v>572</v>
      </c>
      <c r="T457" s="6">
        <v>572</v>
      </c>
      <c r="U457" s="6">
        <v>572</v>
      </c>
      <c r="V457" s="6"/>
      <c r="W457" s="6"/>
      <c r="X457" s="6"/>
    </row>
    <row r="458" spans="1:24" x14ac:dyDescent="0.2">
      <c r="A458" s="3"/>
      <c r="B458" s="3"/>
      <c r="C458" t="s">
        <v>3</v>
      </c>
      <c r="G458" s="5" t="s">
        <v>68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">
      <c r="A459" s="3"/>
      <c r="B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4" x14ac:dyDescent="0.2">
      <c r="A460" s="3" t="s">
        <v>60</v>
      </c>
      <c r="B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4" x14ac:dyDescent="0.2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">
      <c r="A462" s="3"/>
      <c r="B462" s="3" t="s">
        <v>57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4" x14ac:dyDescent="0.2">
      <c r="A463" s="3"/>
      <c r="B463" s="3"/>
      <c r="D463" t="s">
        <v>155</v>
      </c>
      <c r="G463" s="5">
        <v>0.06</v>
      </c>
      <c r="H463" s="5">
        <v>0.01</v>
      </c>
      <c r="I463" s="5">
        <v>0.01</v>
      </c>
      <c r="J463" s="5">
        <v>0.01</v>
      </c>
      <c r="K463" s="5">
        <v>0.01</v>
      </c>
      <c r="L463" s="5">
        <v>0.01</v>
      </c>
      <c r="M463" s="5">
        <v>0.01</v>
      </c>
      <c r="N463" s="5">
        <v>0.01</v>
      </c>
      <c r="O463" s="5">
        <v>0.01</v>
      </c>
      <c r="P463" s="5">
        <v>0.01</v>
      </c>
      <c r="Q463" s="5">
        <v>0.01</v>
      </c>
      <c r="R463" s="5">
        <v>0.01</v>
      </c>
      <c r="S463" s="5">
        <v>0.01</v>
      </c>
      <c r="T463" s="5">
        <v>0.01</v>
      </c>
      <c r="U463" s="5">
        <v>0.01</v>
      </c>
    </row>
    <row r="464" spans="1:24" x14ac:dyDescent="0.2">
      <c r="A464" s="3"/>
      <c r="B464" s="3"/>
      <c r="D464" s="13" t="s">
        <v>146</v>
      </c>
      <c r="G464" s="12">
        <v>2.5000000000000001E-2</v>
      </c>
      <c r="H464" s="12">
        <v>2.5000000000000001E-2</v>
      </c>
      <c r="I464" s="12">
        <v>2.5000000000000001E-2</v>
      </c>
      <c r="J464" s="12">
        <v>0.01</v>
      </c>
      <c r="K464" s="12">
        <v>0.01</v>
      </c>
      <c r="L464" s="12">
        <v>0.01</v>
      </c>
      <c r="M464" s="12">
        <v>0.01</v>
      </c>
      <c r="N464" s="12">
        <v>0.01</v>
      </c>
      <c r="O464" s="12">
        <v>0.01</v>
      </c>
      <c r="P464" s="12">
        <v>0.01</v>
      </c>
      <c r="Q464" s="12">
        <v>0.03</v>
      </c>
      <c r="R464" s="12">
        <v>0.03</v>
      </c>
      <c r="S464" s="12">
        <v>0.03</v>
      </c>
      <c r="T464" s="12">
        <v>0.03</v>
      </c>
      <c r="U464" s="12">
        <v>0.03</v>
      </c>
    </row>
    <row r="465" spans="1:51" x14ac:dyDescent="0.2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">
      <c r="A466" s="3"/>
      <c r="B466" s="3"/>
      <c r="C466" t="s">
        <v>120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</row>
    <row r="467" spans="1:51" x14ac:dyDescent="0.2">
      <c r="A467" s="3"/>
      <c r="B467" s="3"/>
      <c r="C467" t="s">
        <v>114</v>
      </c>
      <c r="G467" s="6">
        <v>479</v>
      </c>
      <c r="H467" s="6">
        <v>479</v>
      </c>
      <c r="I467" s="6">
        <v>479</v>
      </c>
      <c r="J467" s="6">
        <v>479</v>
      </c>
      <c r="K467" s="6">
        <v>479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</row>
    <row r="468" spans="1:51" x14ac:dyDescent="0.2">
      <c r="A468" s="3"/>
      <c r="B468" s="3"/>
      <c r="C468" t="s">
        <v>3</v>
      </c>
      <c r="G468" s="5" t="s">
        <v>65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51" x14ac:dyDescent="0.2">
      <c r="A469" s="3"/>
      <c r="B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51" x14ac:dyDescent="0.2">
      <c r="A470" s="3"/>
      <c r="B470" s="3" t="s">
        <v>61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51" x14ac:dyDescent="0.2">
      <c r="A471" s="3"/>
      <c r="B471" s="3"/>
      <c r="D471" t="s">
        <v>155</v>
      </c>
      <c r="G471" s="5">
        <v>0.06</v>
      </c>
      <c r="H471" s="5">
        <v>0.01</v>
      </c>
      <c r="I471" s="5">
        <v>0.01</v>
      </c>
      <c r="J471" s="5">
        <v>0.01</v>
      </c>
      <c r="K471" s="5">
        <v>0.01</v>
      </c>
      <c r="L471" s="5">
        <v>0.01</v>
      </c>
      <c r="M471" s="5">
        <v>0.01</v>
      </c>
      <c r="N471" s="5">
        <v>0.01</v>
      </c>
      <c r="O471" s="5">
        <v>0.01</v>
      </c>
      <c r="P471" s="5">
        <v>0.01</v>
      </c>
      <c r="Q471" s="5">
        <v>0.01</v>
      </c>
      <c r="R471" s="5">
        <v>0.01</v>
      </c>
      <c r="S471" s="5">
        <v>0.01</v>
      </c>
      <c r="T471" s="5">
        <v>0.01</v>
      </c>
      <c r="U471" s="5">
        <v>0.01</v>
      </c>
    </row>
    <row r="472" spans="1:51" x14ac:dyDescent="0.2">
      <c r="A472" s="3"/>
      <c r="B472" s="3"/>
      <c r="D472" s="13" t="s">
        <v>146</v>
      </c>
      <c r="G472" s="12">
        <v>0.2</v>
      </c>
      <c r="H472" s="12">
        <v>0.2</v>
      </c>
      <c r="I472" s="12">
        <v>0.2</v>
      </c>
      <c r="J472" s="12">
        <v>0.1</v>
      </c>
      <c r="K472" s="12">
        <v>0.1</v>
      </c>
      <c r="L472" s="12">
        <v>0.1</v>
      </c>
      <c r="M472" s="12">
        <v>0.1</v>
      </c>
      <c r="N472" s="12">
        <v>0.1</v>
      </c>
      <c r="O472" s="12">
        <v>0.1</v>
      </c>
      <c r="P472" s="12">
        <v>0.1</v>
      </c>
      <c r="Q472" s="12">
        <v>0.25</v>
      </c>
      <c r="R472" s="12">
        <v>0.25</v>
      </c>
      <c r="S472" s="12">
        <v>0.25</v>
      </c>
      <c r="T472" s="12">
        <v>0.25</v>
      </c>
      <c r="U472" s="12">
        <v>0.25</v>
      </c>
    </row>
    <row r="473" spans="1:51" x14ac:dyDescent="0.2">
      <c r="A473" s="3"/>
      <c r="B473" s="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idden="1" x14ac:dyDescent="0.2">
      <c r="A474" s="3"/>
      <c r="B474" s="3"/>
      <c r="C474" t="s">
        <v>113</v>
      </c>
      <c r="G474" s="10">
        <f>997+1560+605+9069+620+688+38419+10075+1856+1000</f>
        <v>64889</v>
      </c>
      <c r="H474" s="10">
        <f>949+1435+605+8556+600+700+38361+1758+565</f>
        <v>53529</v>
      </c>
      <c r="I474" s="10">
        <f>817+1300+500+610+400+29526+2507+588</f>
        <v>36248</v>
      </c>
      <c r="J474" s="10">
        <f>280+400+600+26346+2829+588</f>
        <v>31043</v>
      </c>
      <c r="K474" s="10">
        <f>96+300+580+24552+2930+567</f>
        <v>29025</v>
      </c>
      <c r="L474" s="10">
        <f>53+200+400+24487+1201+536</f>
        <v>26877</v>
      </c>
      <c r="M474" s="10">
        <f>51+100+350+22943+984+652</f>
        <v>25080</v>
      </c>
      <c r="N474" s="10">
        <f>49+100+350+24562+1131+621</f>
        <v>26813</v>
      </c>
      <c r="O474" s="10">
        <f>56+120+300+24633+1183+450</f>
        <v>26742</v>
      </c>
      <c r="P474" s="10">
        <f>64+300+400+27441+3060+465</f>
        <v>31730</v>
      </c>
      <c r="Q474" s="10">
        <f>350+450+6203+480</f>
        <v>7483</v>
      </c>
      <c r="R474" s="10">
        <f>605+600+7503+550</f>
        <v>9258</v>
      </c>
      <c r="S474" s="10">
        <f>605+620+8433</f>
        <v>9658</v>
      </c>
      <c r="T474" s="10">
        <f>605+580+5925</f>
        <v>7110</v>
      </c>
      <c r="U474" s="10">
        <f>500+4579</f>
        <v>5079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s="7" customFormat="1" x14ac:dyDescent="0.2">
      <c r="C475" t="s">
        <v>120</v>
      </c>
      <c r="G475" s="10">
        <v>1991</v>
      </c>
      <c r="H475" s="10">
        <v>2054</v>
      </c>
      <c r="I475" s="10">
        <f>I474/31</f>
        <v>1169.2903225806451</v>
      </c>
      <c r="J475" s="10">
        <f>J474/30</f>
        <v>1034.7666666666667</v>
      </c>
      <c r="K475" s="10">
        <f>K474/31</f>
        <v>936.29032258064512</v>
      </c>
      <c r="L475" s="10">
        <f>L474/30</f>
        <v>895.9</v>
      </c>
      <c r="M475" s="10">
        <f>M474/31</f>
        <v>809.0322580645161</v>
      </c>
      <c r="N475" s="10">
        <f>N474/31</f>
        <v>864.93548387096769</v>
      </c>
      <c r="O475" s="10">
        <f>O474/30</f>
        <v>891.4</v>
      </c>
      <c r="P475" s="10">
        <f>P474/31</f>
        <v>1023.5483870967741</v>
      </c>
      <c r="Q475" s="10">
        <f>Q474/30</f>
        <v>249.43333333333334</v>
      </c>
      <c r="R475" s="10">
        <f>R474/31</f>
        <v>298.64516129032256</v>
      </c>
      <c r="S475" s="10">
        <f>S474/31</f>
        <v>311.54838709677421</v>
      </c>
      <c r="T475" s="10">
        <f>T474/28</f>
        <v>253.92857142857142</v>
      </c>
      <c r="U475" s="10">
        <f>U474/31</f>
        <v>163.83870967741936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">
      <c r="A476" s="3"/>
      <c r="B476" s="3"/>
      <c r="C476" t="s">
        <v>114</v>
      </c>
      <c r="E476" t="s">
        <v>132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">
      <c r="A477" s="3"/>
      <c r="B477" s="3"/>
      <c r="C477" t="s">
        <v>3</v>
      </c>
      <c r="G477" s="5" t="s">
        <v>64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51" x14ac:dyDescent="0.2">
      <c r="A478" s="3"/>
      <c r="B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51" x14ac:dyDescent="0.2">
      <c r="A479" s="3"/>
      <c r="B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51" x14ac:dyDescent="0.2">
      <c r="A480" s="3" t="s">
        <v>128</v>
      </c>
      <c r="B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51" x14ac:dyDescent="0.2">
      <c r="A481" s="3"/>
      <c r="B481" s="3"/>
      <c r="D481" t="s">
        <v>155</v>
      </c>
      <c r="G481" s="5">
        <v>0.06</v>
      </c>
      <c r="H481" s="5">
        <v>0.01</v>
      </c>
      <c r="I481" s="5">
        <v>0.01</v>
      </c>
      <c r="J481" s="5">
        <v>0.01</v>
      </c>
      <c r="K481" s="5">
        <v>0.01</v>
      </c>
      <c r="L481" s="5">
        <v>0.01</v>
      </c>
      <c r="M481" s="5">
        <v>0.01</v>
      </c>
      <c r="N481" s="5">
        <v>0.01</v>
      </c>
      <c r="O481" s="5">
        <v>0.01</v>
      </c>
      <c r="P481" s="5">
        <v>0.01</v>
      </c>
      <c r="Q481" s="5">
        <v>0.01</v>
      </c>
      <c r="R481" s="5">
        <v>0.01</v>
      </c>
      <c r="S481" s="5">
        <v>0.01</v>
      </c>
      <c r="T481" s="5">
        <v>0.01</v>
      </c>
      <c r="U481" s="5">
        <v>0.01</v>
      </c>
    </row>
    <row r="482" spans="1:51" x14ac:dyDescent="0.2">
      <c r="A482" s="3"/>
      <c r="B482" s="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idden="1" x14ac:dyDescent="0.2">
      <c r="A483" s="3"/>
      <c r="B483" s="3"/>
      <c r="C483" t="s">
        <v>113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s="7" customFormat="1" x14ac:dyDescent="0.2">
      <c r="C484" t="s">
        <v>121</v>
      </c>
      <c r="G484" s="10">
        <v>1910</v>
      </c>
      <c r="H484" s="10">
        <v>1970</v>
      </c>
      <c r="I484" s="10">
        <v>2020</v>
      </c>
      <c r="J484" s="10">
        <v>2617</v>
      </c>
      <c r="K484" s="10">
        <f>K483/31</f>
        <v>0</v>
      </c>
      <c r="L484" s="10">
        <f>L483/30</f>
        <v>0</v>
      </c>
      <c r="M484" s="10">
        <f>M483/31</f>
        <v>0</v>
      </c>
      <c r="N484" s="10">
        <f>N483/31</f>
        <v>0</v>
      </c>
      <c r="O484" s="10">
        <f>O483/30</f>
        <v>0</v>
      </c>
      <c r="P484" s="10">
        <v>1016</v>
      </c>
      <c r="Q484" s="10">
        <v>1183</v>
      </c>
      <c r="R484" s="10">
        <v>1155</v>
      </c>
      <c r="S484" s="10">
        <v>1112</v>
      </c>
      <c r="T484" s="10">
        <v>1041</v>
      </c>
      <c r="U484" s="10">
        <v>1037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">
      <c r="A485" s="3"/>
      <c r="B485" s="3"/>
      <c r="C485" t="s">
        <v>114</v>
      </c>
      <c r="E485" t="s">
        <v>132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">
      <c r="A486" s="3"/>
      <c r="B486" s="3"/>
      <c r="C486" t="s">
        <v>3</v>
      </c>
      <c r="G486" s="5" t="s">
        <v>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">
      <c r="A487" s="3"/>
      <c r="B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51" x14ac:dyDescent="0.2">
      <c r="A488" s="3" t="s">
        <v>62</v>
      </c>
      <c r="B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51" x14ac:dyDescent="0.2">
      <c r="A489" s="3"/>
      <c r="B489" s="3"/>
      <c r="D489" s="15" t="s">
        <v>165</v>
      </c>
      <c r="G489" t="s">
        <v>166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51" x14ac:dyDescent="0.2">
      <c r="A490" s="3"/>
      <c r="B490" s="3"/>
      <c r="D490" s="13" t="s">
        <v>146</v>
      </c>
      <c r="G490" s="19">
        <v>0.2165</v>
      </c>
      <c r="H490" s="19">
        <v>0.2165</v>
      </c>
      <c r="I490" s="12">
        <v>0.2</v>
      </c>
      <c r="J490" s="12">
        <v>0.1</v>
      </c>
      <c r="K490" s="12">
        <v>0.1</v>
      </c>
      <c r="L490" s="12">
        <v>0.1</v>
      </c>
      <c r="M490" s="12">
        <v>0.1</v>
      </c>
      <c r="N490" s="12">
        <v>0.1</v>
      </c>
      <c r="O490" s="12">
        <v>0.1</v>
      </c>
      <c r="P490" s="12">
        <v>0.1</v>
      </c>
      <c r="Q490" s="12">
        <v>0.25</v>
      </c>
      <c r="R490" s="12">
        <v>0.25</v>
      </c>
      <c r="S490" s="12">
        <v>0.2165</v>
      </c>
      <c r="T490" s="12">
        <v>0.2165</v>
      </c>
      <c r="U490" s="12">
        <v>0.25</v>
      </c>
    </row>
    <row r="491" spans="1:51" x14ac:dyDescent="0.2">
      <c r="A491" s="3"/>
      <c r="B491" s="3"/>
      <c r="G491" s="6" t="s">
        <v>162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hidden="1" x14ac:dyDescent="0.2">
      <c r="A492" s="3"/>
      <c r="B492" s="3"/>
      <c r="C492" t="s">
        <v>113</v>
      </c>
      <c r="G492" s="10">
        <f>90+56267+3102+650+8600+72</f>
        <v>68781</v>
      </c>
      <c r="H492" s="10">
        <f>10+52659+1219+650+8000+68</f>
        <v>62606</v>
      </c>
      <c r="I492" s="10">
        <f>6+4291+1143+650+7500+67</f>
        <v>13657</v>
      </c>
      <c r="J492" s="10">
        <f>4+4792+1226+650+7000+76</f>
        <v>13748</v>
      </c>
      <c r="K492" s="10">
        <f>16+5486+10350+650+7000+68</f>
        <v>23570</v>
      </c>
      <c r="L492" s="10">
        <f>32+8205+3726+650+7020+71</f>
        <v>19704</v>
      </c>
      <c r="M492" s="10">
        <f>8377+3555+650+8000</f>
        <v>20582</v>
      </c>
      <c r="N492" s="10">
        <f>13012+5085+650+8000</f>
        <v>26747</v>
      </c>
      <c r="O492" s="10">
        <f>11510+6478+650+8500</f>
        <v>27138</v>
      </c>
      <c r="P492" s="10">
        <f>9140+5779+650+8500</f>
        <v>24069</v>
      </c>
      <c r="Q492" s="10">
        <f>3718+650+7000</f>
        <v>11368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51" s="7" customFormat="1" x14ac:dyDescent="0.2">
      <c r="C493" t="s">
        <v>120</v>
      </c>
      <c r="G493" s="10">
        <f>G492/31</f>
        <v>2218.7419354838707</v>
      </c>
      <c r="H493" s="10">
        <f>H492/29</f>
        <v>2158.8275862068967</v>
      </c>
      <c r="I493" s="10">
        <f>I492/31</f>
        <v>440.54838709677421</v>
      </c>
      <c r="J493" s="10">
        <f>J492/30</f>
        <v>458.26666666666665</v>
      </c>
      <c r="K493" s="10">
        <f>K492/31</f>
        <v>760.32258064516134</v>
      </c>
      <c r="L493" s="10">
        <f>L492/30</f>
        <v>656.8</v>
      </c>
      <c r="M493" s="10">
        <f>M492/31</f>
        <v>663.93548387096769</v>
      </c>
      <c r="N493" s="10">
        <f>N492/31</f>
        <v>862.80645161290317</v>
      </c>
      <c r="O493" s="10">
        <f>O492/30</f>
        <v>904.6</v>
      </c>
      <c r="P493" s="10">
        <f>P492/31</f>
        <v>776.41935483870964</v>
      </c>
      <c r="Q493" s="10">
        <f>Q492/30</f>
        <v>378.93333333333334</v>
      </c>
      <c r="R493" s="10">
        <f>R492/31</f>
        <v>0</v>
      </c>
      <c r="S493" s="10">
        <f>S492/31</f>
        <v>0</v>
      </c>
      <c r="T493" s="10">
        <f>T492/28</f>
        <v>0</v>
      </c>
      <c r="U493" s="10">
        <f>U492/31</f>
        <v>0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51" x14ac:dyDescent="0.2">
      <c r="A494" s="3"/>
      <c r="B494" s="3"/>
      <c r="C494" t="s">
        <v>114</v>
      </c>
      <c r="F494" s="7"/>
      <c r="G494" s="6">
        <v>844</v>
      </c>
      <c r="H494" s="6">
        <v>844</v>
      </c>
      <c r="I494" s="6">
        <v>844</v>
      </c>
      <c r="J494" s="6">
        <v>844</v>
      </c>
      <c r="K494" s="6">
        <v>844</v>
      </c>
      <c r="L494" s="6">
        <v>775</v>
      </c>
      <c r="M494" s="6">
        <v>775</v>
      </c>
      <c r="N494" s="6">
        <v>775</v>
      </c>
      <c r="O494" s="6">
        <v>775</v>
      </c>
      <c r="P494" s="6">
        <v>775</v>
      </c>
      <c r="Q494" s="6">
        <v>672</v>
      </c>
      <c r="R494" s="6">
        <v>672</v>
      </c>
      <c r="S494" s="6">
        <v>672</v>
      </c>
      <c r="T494" s="6">
        <v>672</v>
      </c>
      <c r="U494" s="6">
        <v>672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51" x14ac:dyDescent="0.2">
      <c r="A495" s="3"/>
      <c r="B495" s="3"/>
      <c r="C495" t="s">
        <v>3</v>
      </c>
      <c r="G495" s="5" t="s">
        <v>131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">
      <c r="A497" s="3"/>
      <c r="B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">
      <c r="A498" s="3" t="s">
        <v>63</v>
      </c>
      <c r="B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">
      <c r="A500" s="3"/>
      <c r="B500" s="3"/>
      <c r="G500" s="5" t="s">
        <v>150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">
      <c r="A501" s="3"/>
      <c r="B501" s="3"/>
      <c r="G501" s="5" t="s">
        <v>151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">
      <c r="A502" s="3"/>
      <c r="B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">
      <c r="A503" s="3"/>
      <c r="B503" s="3"/>
      <c r="C503" t="s">
        <v>113</v>
      </c>
      <c r="G503" s="8">
        <v>4500</v>
      </c>
      <c r="H503" s="8">
        <v>4500</v>
      </c>
      <c r="I503" s="8">
        <v>4500</v>
      </c>
      <c r="J503" s="8">
        <v>4200</v>
      </c>
      <c r="K503" s="8">
        <v>4200</v>
      </c>
      <c r="L503" s="8">
        <v>4200</v>
      </c>
      <c r="M503" s="8">
        <v>4200</v>
      </c>
      <c r="N503" s="8">
        <v>4200</v>
      </c>
      <c r="O503" s="8">
        <v>4200</v>
      </c>
      <c r="P503" s="8">
        <v>4200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</row>
    <row r="504" spans="1:21" x14ac:dyDescent="0.2">
      <c r="A504" s="3"/>
      <c r="B504" s="3"/>
      <c r="C504" t="s">
        <v>114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</row>
    <row r="505" spans="1:21" x14ac:dyDescent="0.2">
      <c r="A505" s="3"/>
      <c r="B505" s="3"/>
      <c r="C505" t="s">
        <v>3</v>
      </c>
      <c r="G505" s="19" t="s">
        <v>149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">
      <c r="A507" s="3"/>
      <c r="B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">
      <c r="A508" s="3" t="s">
        <v>70</v>
      </c>
      <c r="B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">
      <c r="A509" s="3"/>
      <c r="B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">
      <c r="A510" s="3"/>
      <c r="B510" s="3"/>
      <c r="D510" s="15" t="s">
        <v>161</v>
      </c>
      <c r="G510" s="5">
        <v>6.5000000000000002E-2</v>
      </c>
      <c r="H510" s="5">
        <v>6.5000000000000002E-2</v>
      </c>
      <c r="I510" s="5">
        <v>6.5000000000000002E-2</v>
      </c>
      <c r="J510" s="5">
        <v>0.03</v>
      </c>
      <c r="K510" s="5">
        <v>2.75E-2</v>
      </c>
      <c r="L510" s="5">
        <v>2.75E-2</v>
      </c>
      <c r="M510" s="5">
        <v>2.75E-2</v>
      </c>
      <c r="N510" s="5">
        <v>2.75E-2</v>
      </c>
      <c r="O510" s="5">
        <v>2.75E-2</v>
      </c>
      <c r="P510" s="5">
        <v>0.03</v>
      </c>
      <c r="Q510" s="5">
        <v>6.5000000000000002E-2</v>
      </c>
      <c r="R510" s="5">
        <v>6.5000000000000002E-2</v>
      </c>
      <c r="S510" s="5">
        <v>6.5000000000000002E-2</v>
      </c>
      <c r="T510" s="5">
        <v>6.5000000000000002E-2</v>
      </c>
      <c r="U510" s="5">
        <v>6.5000000000000002E-2</v>
      </c>
    </row>
    <row r="511" spans="1:21" x14ac:dyDescent="0.2">
      <c r="A511" s="3"/>
      <c r="B511" s="3"/>
      <c r="G511" s="5" t="s">
        <v>152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idden="1" x14ac:dyDescent="0.2">
      <c r="A512" s="3"/>
      <c r="B512" s="3"/>
      <c r="C512" t="s">
        <v>113</v>
      </c>
      <c r="G512" s="8">
        <v>9127</v>
      </c>
      <c r="H512" s="8">
        <v>6543</v>
      </c>
      <c r="I512" s="8">
        <v>4501</v>
      </c>
      <c r="J512" s="8">
        <v>4045</v>
      </c>
      <c r="K512" s="8">
        <v>6366</v>
      </c>
      <c r="L512" s="8">
        <v>6428</v>
      </c>
      <c r="M512" s="8">
        <v>2499</v>
      </c>
      <c r="N512" s="8">
        <v>2447</v>
      </c>
      <c r="O512" s="8">
        <v>2570</v>
      </c>
      <c r="P512" s="8">
        <v>895</v>
      </c>
      <c r="Q512" s="8">
        <v>37</v>
      </c>
      <c r="R512" s="8">
        <v>53</v>
      </c>
      <c r="S512" s="8">
        <v>99</v>
      </c>
      <c r="T512" s="8">
        <v>68</v>
      </c>
      <c r="U512" s="8">
        <v>38</v>
      </c>
    </row>
    <row r="513" spans="1:25" s="7" customFormat="1" x14ac:dyDescent="0.2">
      <c r="C513" t="s">
        <v>120</v>
      </c>
      <c r="G513" s="9">
        <v>2190</v>
      </c>
      <c r="H513" s="9">
        <v>2329</v>
      </c>
      <c r="I513" s="9">
        <v>2224</v>
      </c>
      <c r="J513" s="9">
        <v>2109</v>
      </c>
      <c r="K513" s="9">
        <v>1762</v>
      </c>
      <c r="L513" s="9">
        <v>1135</v>
      </c>
      <c r="M513" s="9">
        <v>781</v>
      </c>
      <c r="N513" s="9">
        <v>683</v>
      </c>
      <c r="O513" s="9">
        <v>435</v>
      </c>
      <c r="P513" s="9">
        <v>402</v>
      </c>
      <c r="Q513" s="9">
        <v>456</v>
      </c>
      <c r="R513" s="9">
        <v>2</v>
      </c>
      <c r="S513" s="9">
        <v>3</v>
      </c>
      <c r="T513" s="9">
        <v>2</v>
      </c>
      <c r="U513" s="9">
        <v>1</v>
      </c>
    </row>
    <row r="514" spans="1:25" x14ac:dyDescent="0.2">
      <c r="A514" s="3"/>
      <c r="B514" s="3"/>
      <c r="C514" t="s">
        <v>114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</row>
    <row r="515" spans="1:25" x14ac:dyDescent="0.2">
      <c r="A515" s="3"/>
      <c r="B515" s="3"/>
      <c r="C515" t="s">
        <v>3</v>
      </c>
      <c r="G515" s="5" t="s">
        <v>71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">
      <c r="A517" s="3"/>
      <c r="B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">
      <c r="A518" s="3" t="s">
        <v>72</v>
      </c>
      <c r="B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5" x14ac:dyDescent="0.2">
      <c r="A519" s="3"/>
      <c r="B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5" x14ac:dyDescent="0.2">
      <c r="A520" s="3"/>
      <c r="B520" s="3" t="s">
        <v>73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5" x14ac:dyDescent="0.2">
      <c r="A521" s="3"/>
      <c r="B521" s="3"/>
      <c r="D521" s="15" t="s">
        <v>161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5" x14ac:dyDescent="0.2">
      <c r="A522" s="3"/>
      <c r="B522" s="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idden="1" x14ac:dyDescent="0.2">
      <c r="A523" s="3"/>
      <c r="B523" s="3"/>
      <c r="C523" t="s">
        <v>113</v>
      </c>
      <c r="G523" s="6">
        <f>102+36400</f>
        <v>36502</v>
      </c>
      <c r="H523" s="6">
        <f>102+34400</f>
        <v>34502</v>
      </c>
      <c r="I523" s="6">
        <f>102+34400</f>
        <v>34502</v>
      </c>
      <c r="J523" s="6">
        <f>102+23000</f>
        <v>23102</v>
      </c>
      <c r="K523" s="6">
        <f>102+21000</f>
        <v>21102</v>
      </c>
      <c r="L523" s="6">
        <v>102</v>
      </c>
      <c r="M523" s="6">
        <v>102</v>
      </c>
      <c r="N523" s="6">
        <v>102</v>
      </c>
      <c r="O523" s="6">
        <v>102</v>
      </c>
      <c r="P523" s="6">
        <v>102</v>
      </c>
      <c r="Q523" s="6">
        <v>102</v>
      </c>
      <c r="R523" s="6">
        <v>102</v>
      </c>
      <c r="S523" s="6">
        <v>102</v>
      </c>
      <c r="T523" s="6">
        <v>102</v>
      </c>
      <c r="U523" s="6">
        <v>102</v>
      </c>
      <c r="V523" s="6"/>
      <c r="W523" s="6"/>
      <c r="X523" s="6"/>
      <c r="Y523" s="6"/>
    </row>
    <row r="524" spans="1:25" s="7" customFormat="1" x14ac:dyDescent="0.2">
      <c r="C524" t="s">
        <v>120</v>
      </c>
      <c r="G524" s="10">
        <v>2918</v>
      </c>
      <c r="H524" s="10">
        <v>2751</v>
      </c>
      <c r="I524" s="10">
        <v>2372</v>
      </c>
      <c r="J524" s="10">
        <v>1481</v>
      </c>
      <c r="K524" s="10">
        <v>1228</v>
      </c>
      <c r="L524" s="10">
        <v>429</v>
      </c>
      <c r="M524" s="10">
        <v>427</v>
      </c>
      <c r="N524" s="10">
        <v>428</v>
      </c>
      <c r="O524" s="10">
        <v>440</v>
      </c>
      <c r="P524" s="10">
        <v>526</v>
      </c>
      <c r="Q524" s="10">
        <v>280</v>
      </c>
      <c r="R524" s="10">
        <v>55</v>
      </c>
      <c r="S524" s="10">
        <v>78</v>
      </c>
      <c r="T524" s="10">
        <v>54</v>
      </c>
      <c r="U524" s="10">
        <v>51</v>
      </c>
      <c r="V524" s="6"/>
      <c r="W524" s="6"/>
      <c r="X524" s="6"/>
      <c r="Y524" s="6"/>
    </row>
    <row r="525" spans="1:25" x14ac:dyDescent="0.2">
      <c r="A525" s="3"/>
      <c r="B525" s="3"/>
      <c r="C525" t="s">
        <v>114</v>
      </c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6"/>
      <c r="W525" s="6"/>
      <c r="X525" s="6"/>
      <c r="Y525" s="6"/>
    </row>
    <row r="526" spans="1:25" x14ac:dyDescent="0.2">
      <c r="A526" s="3"/>
      <c r="B526" s="3"/>
      <c r="C526" t="s">
        <v>3</v>
      </c>
      <c r="G526" s="5" t="s">
        <v>74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">
      <c r="A527" s="3"/>
      <c r="B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5" x14ac:dyDescent="0.2">
      <c r="A528" s="3" t="s">
        <v>75</v>
      </c>
      <c r="B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35" x14ac:dyDescent="0.2">
      <c r="A529" s="3"/>
      <c r="B529" s="3" t="s">
        <v>76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35" x14ac:dyDescent="0.2">
      <c r="A530" s="3"/>
      <c r="B530" s="3"/>
      <c r="D530" s="22" t="s">
        <v>154</v>
      </c>
      <c r="G530" s="5">
        <v>7.0000000000000007E-2</v>
      </c>
      <c r="H530" s="5">
        <v>7.4999999999999997E-3</v>
      </c>
      <c r="I530" s="5">
        <v>7.4999999999999997E-3</v>
      </c>
      <c r="J530" s="5">
        <v>7.4999999999999997E-3</v>
      </c>
      <c r="K530" s="5">
        <v>7.4999999999999997E-3</v>
      </c>
      <c r="L530" s="5">
        <v>7.4999999999999997E-3</v>
      </c>
      <c r="M530" s="5">
        <v>7.4999999999999997E-3</v>
      </c>
      <c r="N530" s="5">
        <v>7.4999999999999997E-3</v>
      </c>
      <c r="O530" s="5">
        <v>7.4999999999999997E-3</v>
      </c>
      <c r="P530" s="5">
        <v>7.4999999999999997E-3</v>
      </c>
      <c r="Q530" s="5">
        <v>7.4999999999999997E-3</v>
      </c>
      <c r="R530" s="5">
        <v>7.4999999999999997E-3</v>
      </c>
      <c r="S530" s="5">
        <v>7.4999999999999997E-3</v>
      </c>
      <c r="T530" s="5">
        <v>7.4999999999999997E-3</v>
      </c>
      <c r="U530" s="5">
        <v>7.4999999999999997E-3</v>
      </c>
    </row>
    <row r="531" spans="1:35" x14ac:dyDescent="0.2">
      <c r="A531" s="3"/>
      <c r="B531" s="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35" hidden="1" x14ac:dyDescent="0.2">
      <c r="A532" s="3"/>
      <c r="B532" s="3"/>
      <c r="C532" t="s">
        <v>113</v>
      </c>
      <c r="G532" s="10">
        <f>868976+295129</f>
        <v>1164105</v>
      </c>
      <c r="H532" s="10">
        <f>683580+315505</f>
        <v>999085</v>
      </c>
      <c r="I532" s="10">
        <f>422148+255108</f>
        <v>677256</v>
      </c>
      <c r="J532" s="10">
        <f>193676+358596</f>
        <v>552272</v>
      </c>
      <c r="K532" s="10">
        <f>91498+369826</f>
        <v>461324</v>
      </c>
      <c r="L532" s="10">
        <f>68345+245852</f>
        <v>314197</v>
      </c>
      <c r="M532" s="10">
        <f>64349+294239</f>
        <v>358588</v>
      </c>
      <c r="N532" s="10">
        <f>61857+300931</f>
        <v>362788</v>
      </c>
      <c r="O532" s="10">
        <f>53919+319316</f>
        <v>373235</v>
      </c>
      <c r="P532" s="10">
        <f>73483+299110</f>
        <v>372593</v>
      </c>
      <c r="Q532" s="10">
        <f>131968+434789</f>
        <v>566757</v>
      </c>
      <c r="R532" s="10">
        <f>207117+244206</f>
        <v>451323</v>
      </c>
      <c r="S532" s="10">
        <v>225262</v>
      </c>
      <c r="T532" s="10">
        <v>166697</v>
      </c>
      <c r="U532" s="10">
        <v>116507</v>
      </c>
      <c r="V532" s="6"/>
      <c r="W532" s="6"/>
      <c r="X532" s="6"/>
      <c r="Y532" s="6"/>
    </row>
    <row r="533" spans="1:35" s="7" customFormat="1" x14ac:dyDescent="0.2">
      <c r="C533" t="s">
        <v>130</v>
      </c>
      <c r="G533" s="10">
        <v>12215</v>
      </c>
      <c r="H533" s="10">
        <v>16340</v>
      </c>
      <c r="I533" s="10">
        <v>6730</v>
      </c>
      <c r="J533" s="10">
        <v>3495</v>
      </c>
      <c r="K533" s="10">
        <v>1591</v>
      </c>
      <c r="L533" s="10">
        <v>1175</v>
      </c>
      <c r="M533" s="10">
        <v>1067</v>
      </c>
      <c r="N533" s="10">
        <v>1044</v>
      </c>
      <c r="O533" s="10">
        <v>912</v>
      </c>
      <c r="P533" s="10">
        <v>1331</v>
      </c>
      <c r="Q533" s="10">
        <v>6485</v>
      </c>
      <c r="R533" s="10">
        <v>9148</v>
      </c>
      <c r="S533" s="10">
        <v>9205</v>
      </c>
      <c r="T533" s="10">
        <v>8243</v>
      </c>
      <c r="U533" s="10">
        <v>5267</v>
      </c>
      <c r="V533" s="6"/>
      <c r="W533" s="6"/>
      <c r="X533" s="6"/>
      <c r="Y533" s="6"/>
    </row>
    <row r="534" spans="1:35" x14ac:dyDescent="0.2">
      <c r="A534" s="3"/>
      <c r="B534" s="3"/>
      <c r="C534" t="s">
        <v>114</v>
      </c>
      <c r="E534" t="s">
        <v>132</v>
      </c>
      <c r="G534" s="6">
        <v>39226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/>
      <c r="W534" s="6"/>
      <c r="X534" s="6"/>
      <c r="Y534" s="6"/>
    </row>
    <row r="535" spans="1:35" x14ac:dyDescent="0.2">
      <c r="A535" s="3"/>
      <c r="B535" s="3"/>
      <c r="C535" t="s">
        <v>3</v>
      </c>
      <c r="G535" s="5" t="s">
        <v>77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">
      <c r="A536" s="3"/>
      <c r="B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">
      <c r="A537" s="3" t="s">
        <v>116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35" x14ac:dyDescent="0.2">
      <c r="A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35" x14ac:dyDescent="0.2">
      <c r="A539" s="3"/>
      <c r="D539" s="15" t="s">
        <v>119</v>
      </c>
      <c r="G539" s="5">
        <v>1.4999999999999999E-2</v>
      </c>
      <c r="H539" s="5">
        <v>1.4999999999999999E-2</v>
      </c>
      <c r="I539" s="5">
        <v>1.4999999999999999E-2</v>
      </c>
      <c r="J539" s="5">
        <v>0.01</v>
      </c>
      <c r="K539" s="5">
        <v>0.01</v>
      </c>
      <c r="L539" s="5">
        <v>0.01</v>
      </c>
      <c r="M539" s="5">
        <v>0.01</v>
      </c>
      <c r="N539" s="5">
        <v>0.01</v>
      </c>
      <c r="O539" s="5">
        <v>0.01</v>
      </c>
      <c r="P539" s="5">
        <v>0.01</v>
      </c>
      <c r="Q539" s="5">
        <v>2.5000000000000001E-2</v>
      </c>
      <c r="R539" s="5">
        <v>2.5000000000000001E-2</v>
      </c>
      <c r="S539" s="5">
        <v>2.5000000000000001E-2</v>
      </c>
      <c r="T539" s="5">
        <v>2.5000000000000001E-2</v>
      </c>
      <c r="U539" s="5">
        <v>2.5000000000000001E-2</v>
      </c>
    </row>
    <row r="540" spans="1:35" x14ac:dyDescent="0.2">
      <c r="A540" s="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idden="1" x14ac:dyDescent="0.2">
      <c r="A541" s="3"/>
      <c r="C541" t="s">
        <v>113</v>
      </c>
      <c r="G541" s="10">
        <v>406573</v>
      </c>
      <c r="H541" s="10">
        <v>359126</v>
      </c>
      <c r="I541" s="10">
        <v>305826</v>
      </c>
      <c r="J541" s="10">
        <v>162419</v>
      </c>
      <c r="K541" s="10">
        <v>97390</v>
      </c>
      <c r="L541" s="10">
        <v>54734</v>
      </c>
      <c r="M541" s="10">
        <v>43817</v>
      </c>
      <c r="N541" s="10">
        <v>46682</v>
      </c>
      <c r="O541" s="10">
        <v>73242</v>
      </c>
      <c r="P541" s="10">
        <v>139437</v>
      </c>
      <c r="Q541" s="10">
        <v>202820</v>
      </c>
      <c r="R541" s="10">
        <v>281221</v>
      </c>
      <c r="S541" s="10">
        <v>313615</v>
      </c>
      <c r="T541" s="10">
        <v>276994</v>
      </c>
      <c r="U541" s="10">
        <v>235879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s="7" customFormat="1" x14ac:dyDescent="0.2">
      <c r="C542" t="s">
        <v>121</v>
      </c>
      <c r="G542" s="10">
        <v>10000</v>
      </c>
      <c r="H542" s="10">
        <v>10000</v>
      </c>
      <c r="I542" s="10">
        <v>9646</v>
      </c>
      <c r="J542" s="10">
        <v>5090</v>
      </c>
      <c r="K542" s="10">
        <v>3051</v>
      </c>
      <c r="L542" s="10">
        <v>1713</v>
      </c>
      <c r="M542" s="10">
        <v>1371</v>
      </c>
      <c r="N542" s="10">
        <v>1461</v>
      </c>
      <c r="O542" s="10">
        <v>2294</v>
      </c>
      <c r="P542" s="10">
        <v>4369</v>
      </c>
      <c r="Q542" s="10">
        <v>6356</v>
      </c>
      <c r="R542" s="10">
        <v>8814</v>
      </c>
      <c r="S542" s="10">
        <v>9830</v>
      </c>
      <c r="T542" s="10">
        <v>8682</v>
      </c>
      <c r="U542" s="10">
        <v>7393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2">
      <c r="A543" s="3"/>
      <c r="C543" t="s">
        <v>114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2">
      <c r="A544" s="3"/>
      <c r="C544" t="s">
        <v>3</v>
      </c>
      <c r="G544" s="5" t="s">
        <v>116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">
      <c r="A546" s="3" t="s">
        <v>127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70" x14ac:dyDescent="0.2">
      <c r="A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70" x14ac:dyDescent="0.2">
      <c r="A548" s="3"/>
      <c r="D548" s="15" t="s">
        <v>118</v>
      </c>
      <c r="G548" s="5">
        <v>0.1</v>
      </c>
      <c r="H548" s="5">
        <v>0.05</v>
      </c>
      <c r="I548" s="5">
        <v>0.05</v>
      </c>
      <c r="J548" s="5">
        <v>3.5000000000000003E-2</v>
      </c>
      <c r="K548" s="5">
        <v>3.5000000000000003E-2</v>
      </c>
      <c r="L548" s="5">
        <v>3.5000000000000003E-2</v>
      </c>
      <c r="M548" s="5">
        <v>3.5000000000000003E-2</v>
      </c>
      <c r="N548" s="5">
        <v>3.5000000000000003E-2</v>
      </c>
      <c r="O548" s="5">
        <v>3.5000000000000003E-2</v>
      </c>
      <c r="P548" s="5">
        <v>3.5000000000000003E-2</v>
      </c>
      <c r="Q548" s="5">
        <v>3.5000000000000003E-2</v>
      </c>
      <c r="R548" s="5">
        <v>3.5000000000000003E-2</v>
      </c>
      <c r="S548" s="5">
        <v>3.5000000000000003E-2</v>
      </c>
      <c r="T548" s="5">
        <v>3.5000000000000003E-2</v>
      </c>
      <c r="U548" s="5">
        <v>3.5000000000000003E-2</v>
      </c>
    </row>
    <row r="549" spans="1:70" x14ac:dyDescent="0.2">
      <c r="A549" s="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hidden="1" x14ac:dyDescent="0.2">
      <c r="A550" s="3"/>
      <c r="C550" t="s">
        <v>120</v>
      </c>
      <c r="G550" s="6">
        <v>131</v>
      </c>
      <c r="H550" s="6">
        <v>129</v>
      </c>
      <c r="I550" s="6">
        <v>98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s="7" customFormat="1" x14ac:dyDescent="0.2">
      <c r="C551" t="s">
        <v>120</v>
      </c>
      <c r="G551" s="10">
        <f>G550/31</f>
        <v>4.225806451612903</v>
      </c>
      <c r="H551" s="10">
        <f>H550/29</f>
        <v>4.4482758620689653</v>
      </c>
      <c r="I551" s="10">
        <f>I550/31</f>
        <v>3.161290322580645</v>
      </c>
      <c r="J551" s="10">
        <f>J550/30</f>
        <v>0</v>
      </c>
      <c r="K551" s="10">
        <f>K550/31</f>
        <v>0</v>
      </c>
      <c r="L551" s="10">
        <f>L550/30</f>
        <v>0</v>
      </c>
      <c r="M551" s="10">
        <f>M550/31</f>
        <v>0</v>
      </c>
      <c r="N551" s="10">
        <f>N550/31</f>
        <v>0</v>
      </c>
      <c r="O551" s="10">
        <f>O550/30</f>
        <v>0</v>
      </c>
      <c r="P551" s="10">
        <f>P550/31</f>
        <v>0</v>
      </c>
      <c r="Q551" s="10">
        <f>Q550/30</f>
        <v>0</v>
      </c>
      <c r="R551" s="10">
        <f>R550/31</f>
        <v>0</v>
      </c>
      <c r="S551" s="10">
        <f>S550/31</f>
        <v>0</v>
      </c>
      <c r="T551" s="10">
        <f>T550/28</f>
        <v>0</v>
      </c>
      <c r="U551" s="10">
        <f>U550/31</f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x14ac:dyDescent="0.2">
      <c r="A552" s="3"/>
      <c r="C552" t="s">
        <v>114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hidden="1" x14ac:dyDescent="0.2">
      <c r="A553" s="3"/>
      <c r="C553" t="s">
        <v>121</v>
      </c>
      <c r="G553" s="10">
        <v>33136</v>
      </c>
      <c r="H553" s="10">
        <v>26999</v>
      </c>
      <c r="I553" s="10">
        <v>22807</v>
      </c>
      <c r="J553" s="10">
        <v>13872</v>
      </c>
      <c r="K553" s="10">
        <v>11531</v>
      </c>
      <c r="L553" s="10">
        <v>383</v>
      </c>
      <c r="M553" s="10">
        <v>317</v>
      </c>
      <c r="N553" s="10">
        <v>316</v>
      </c>
      <c r="O553" s="10">
        <v>378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s="7" customFormat="1" x14ac:dyDescent="0.2">
      <c r="C554" t="s">
        <v>121</v>
      </c>
      <c r="G554" s="10">
        <v>721</v>
      </c>
      <c r="H554" s="10">
        <v>959</v>
      </c>
      <c r="I554" s="10">
        <v>507</v>
      </c>
      <c r="J554" s="10">
        <f>J553/30</f>
        <v>462.4</v>
      </c>
      <c r="K554" s="10">
        <f>K553/31</f>
        <v>371.96774193548384</v>
      </c>
      <c r="L554" s="10">
        <f>L553/30</f>
        <v>12.766666666666667</v>
      </c>
      <c r="M554" s="10">
        <f>M553/31</f>
        <v>10.225806451612904</v>
      </c>
      <c r="N554" s="10">
        <f>N553/31</f>
        <v>10.193548387096774</v>
      </c>
      <c r="O554" s="10">
        <f>O553/30</f>
        <v>12.6</v>
      </c>
      <c r="P554" s="10">
        <f>P553/31</f>
        <v>0</v>
      </c>
      <c r="Q554" s="10">
        <f>Q553/30</f>
        <v>0</v>
      </c>
      <c r="R554" s="10">
        <f>R553/31</f>
        <v>0</v>
      </c>
      <c r="S554" s="10">
        <f>S553/31</f>
        <v>0</v>
      </c>
      <c r="T554" s="10">
        <f>T553/28</f>
        <v>0</v>
      </c>
      <c r="U554" s="10">
        <f>U553/31</f>
        <v>0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spans="1:70" x14ac:dyDescent="0.2">
      <c r="A555" s="3"/>
      <c r="C555" t="s">
        <v>114</v>
      </c>
      <c r="E555" t="s">
        <v>132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0" x14ac:dyDescent="0.2">
      <c r="A556" s="3"/>
      <c r="C556" t="s">
        <v>3</v>
      </c>
      <c r="G556" s="5" t="s">
        <v>117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">
      <c r="A560" s="3"/>
      <c r="B560" t="s">
        <v>135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">
      <c r="A561" s="3"/>
      <c r="B561">
        <v>1</v>
      </c>
      <c r="C561" t="s">
        <v>136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">
      <c r="A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">
      <c r="A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1999-12-29T22:14:04Z</cp:lastPrinted>
  <dcterms:created xsi:type="dcterms:W3CDTF">1999-12-06T20:04:21Z</dcterms:created>
  <dcterms:modified xsi:type="dcterms:W3CDTF">2014-09-03T12:16:41Z</dcterms:modified>
</cp:coreProperties>
</file>