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1325" windowHeight="6225"/>
  </bookViews>
  <sheets>
    <sheet name="March 2002" sheetId="7" r:id="rId1"/>
  </sheets>
  <externalReferences>
    <externalReference r:id="rId2"/>
  </externalReferences>
  <definedNames>
    <definedName name="_Key1" hidden="1">[1]A!#REF!</definedName>
    <definedName name="_Key2" hidden="1">[1]A!#REF!</definedName>
    <definedName name="_Order1" hidden="1">0</definedName>
    <definedName name="_Order2" hidden="1">0</definedName>
    <definedName name="CGT">[1]A!#REF!</definedName>
    <definedName name="COLGULF">[1]A!#REF!</definedName>
    <definedName name="EXXONT3G">[1]A!#REF!</definedName>
    <definedName name="EXXONV3G">[1]A!#REF!</definedName>
    <definedName name="FGTIF1H">[1]A!#REF!</definedName>
    <definedName name="FGTIF1L">[1]A!#REF!</definedName>
    <definedName name="FGTIF3H">[1]A!#REF!</definedName>
    <definedName name="FGTIFZ2H">[1]A!#REF!</definedName>
    <definedName name="FGTIFZ2L">[1]A!#REF!</definedName>
    <definedName name="HIINDEX">[1]A!#REF!</definedName>
    <definedName name="NGPL">[1]A!#REF!</definedName>
    <definedName name="NGWZ1BID">[1]A!#REF!</definedName>
    <definedName name="NGWZ2BID">[1]A!#REF!</definedName>
    <definedName name="NGWZ3BID">[1]A!#REF!</definedName>
    <definedName name="NGWZN1WK1">[1]A!#REF!</definedName>
    <definedName name="NGWZN2WK1">[1]A!#REF!</definedName>
    <definedName name="NGWZN3WK1">[1]A!#REF!</definedName>
    <definedName name="NGWZN3WK2">[1]A!#REF!</definedName>
    <definedName name="NGWZN3WK3">[1]A!#REF!</definedName>
    <definedName name="NGWZN3WK4">[1]A!#REF!</definedName>
    <definedName name="NGWZN3WK5">[1]A!#REF!</definedName>
    <definedName name="TENN">[1]A!#REF!</definedName>
    <definedName name="_TGP2">[1]A!#REF!</definedName>
    <definedName name="_TGP3">[1]A!#REF!</definedName>
  </definedNames>
  <calcPr calcId="152511"/>
</workbook>
</file>

<file path=xl/calcChain.xml><?xml version="1.0" encoding="utf-8"?>
<calcChain xmlns="http://schemas.openxmlformats.org/spreadsheetml/2006/main">
  <c r="H10" i="7" l="1"/>
  <c r="J10" i="7"/>
  <c r="K10" i="7"/>
  <c r="A11" i="7"/>
  <c r="C11" i="7"/>
  <c r="D11" i="7"/>
  <c r="D12" i="7" s="1"/>
  <c r="D13" i="7" s="1"/>
  <c r="J11" i="7"/>
  <c r="K11" i="7"/>
  <c r="A12" i="7"/>
  <c r="H14" i="7"/>
  <c r="C15" i="7"/>
  <c r="D15" i="7"/>
  <c r="H16" i="7"/>
  <c r="H17" i="7"/>
  <c r="C18" i="7"/>
  <c r="D18" i="7"/>
  <c r="H18" i="7"/>
  <c r="C19" i="7"/>
  <c r="D19" i="7"/>
  <c r="H19" i="7"/>
  <c r="H20" i="7"/>
  <c r="H21" i="7"/>
  <c r="C22" i="7"/>
  <c r="D22" i="7"/>
  <c r="D23" i="7" s="1"/>
  <c r="D24" i="7" s="1"/>
  <c r="D25" i="7" s="1"/>
  <c r="C23" i="7"/>
  <c r="D26" i="7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B27" i="7"/>
  <c r="K75" i="7"/>
  <c r="J12" i="7" l="1"/>
  <c r="H15" i="7"/>
  <c r="H23" i="7"/>
  <c r="C24" i="7"/>
  <c r="K12" i="7"/>
  <c r="A13" i="7"/>
  <c r="H11" i="7"/>
  <c r="H22" i="7"/>
  <c r="C12" i="7"/>
  <c r="G10" i="7"/>
  <c r="F10" i="7" s="1"/>
  <c r="J13" i="7" l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G11" i="7"/>
  <c r="F11" i="7" s="1"/>
  <c r="K13" i="7"/>
  <c r="A14" i="7"/>
  <c r="H24" i="7"/>
  <c r="C25" i="7"/>
  <c r="H12" i="7"/>
  <c r="C13" i="7"/>
  <c r="H13" i="7" s="1"/>
  <c r="G13" i="7" l="1"/>
  <c r="F13" i="7" s="1"/>
  <c r="G23" i="7"/>
  <c r="F23" i="7" s="1"/>
  <c r="G15" i="7"/>
  <c r="F15" i="7" s="1"/>
  <c r="G20" i="7"/>
  <c r="F20" i="7" s="1"/>
  <c r="G12" i="7"/>
  <c r="F12" i="7" s="1"/>
  <c r="G22" i="7"/>
  <c r="F22" i="7" s="1"/>
  <c r="G21" i="7"/>
  <c r="F21" i="7" s="1"/>
  <c r="G19" i="7"/>
  <c r="F19" i="7" s="1"/>
  <c r="K14" i="7"/>
  <c r="A15" i="7"/>
  <c r="G18" i="7"/>
  <c r="F18" i="7" s="1"/>
  <c r="H25" i="7"/>
  <c r="C26" i="7"/>
  <c r="J26" i="7" s="1"/>
  <c r="G24" i="7"/>
  <c r="F24" i="7" s="1"/>
  <c r="H42" i="7" s="1"/>
  <c r="H43" i="7" s="1"/>
  <c r="G16" i="7"/>
  <c r="F16" i="7" s="1"/>
  <c r="G17" i="7"/>
  <c r="F17" i="7" s="1"/>
  <c r="G14" i="7"/>
  <c r="F14" i="7" s="1"/>
  <c r="G25" i="7" l="1"/>
  <c r="F25" i="7" s="1"/>
  <c r="K15" i="7"/>
  <c r="A16" i="7"/>
  <c r="H26" i="7"/>
  <c r="C27" i="7"/>
  <c r="G26" i="7" l="1"/>
  <c r="F26" i="7" s="1"/>
  <c r="K16" i="7"/>
  <c r="A17" i="7"/>
  <c r="H27" i="7"/>
  <c r="G27" i="7" s="1"/>
  <c r="F27" i="7" s="1"/>
  <c r="C28" i="7"/>
  <c r="J27" i="7"/>
  <c r="J28" i="7" s="1"/>
  <c r="J29" i="7" l="1"/>
  <c r="A18" i="7"/>
  <c r="K17" i="7"/>
  <c r="H28" i="7"/>
  <c r="G28" i="7" s="1"/>
  <c r="F28" i="7" s="1"/>
  <c r="C29" i="7"/>
  <c r="A19" i="7" l="1"/>
  <c r="K18" i="7"/>
  <c r="H29" i="7"/>
  <c r="G29" i="7" s="1"/>
  <c r="F29" i="7" s="1"/>
  <c r="C30" i="7"/>
  <c r="H30" i="7" l="1"/>
  <c r="G30" i="7" s="1"/>
  <c r="F30" i="7" s="1"/>
  <c r="C31" i="7"/>
  <c r="J30" i="7"/>
  <c r="J31" i="7" s="1"/>
  <c r="K19" i="7"/>
  <c r="A20" i="7"/>
  <c r="K20" i="7" l="1"/>
  <c r="A21" i="7"/>
  <c r="H31" i="7"/>
  <c r="G31" i="7" s="1"/>
  <c r="F31" i="7" s="1"/>
  <c r="C32" i="7"/>
  <c r="H32" i="7" l="1"/>
  <c r="G32" i="7" s="1"/>
  <c r="F32" i="7" s="1"/>
  <c r="C33" i="7"/>
  <c r="J32" i="7"/>
  <c r="J33" i="7" s="1"/>
  <c r="K21" i="7"/>
  <c r="A22" i="7"/>
  <c r="K22" i="7" l="1"/>
  <c r="A23" i="7"/>
  <c r="H33" i="7"/>
  <c r="G33" i="7" s="1"/>
  <c r="F33" i="7" s="1"/>
  <c r="C34" i="7"/>
  <c r="H34" i="7" l="1"/>
  <c r="G34" i="7" s="1"/>
  <c r="F34" i="7" s="1"/>
  <c r="C35" i="7"/>
  <c r="J34" i="7"/>
  <c r="J35" i="7" s="1"/>
  <c r="K23" i="7"/>
  <c r="A24" i="7"/>
  <c r="K24" i="7" l="1"/>
  <c r="A25" i="7"/>
  <c r="H35" i="7"/>
  <c r="G35" i="7" s="1"/>
  <c r="F35" i="7" s="1"/>
  <c r="C36" i="7"/>
  <c r="H36" i="7" l="1"/>
  <c r="G36" i="7" s="1"/>
  <c r="F36" i="7" s="1"/>
  <c r="C37" i="7"/>
  <c r="J36" i="7"/>
  <c r="J37" i="7" s="1"/>
  <c r="K25" i="7"/>
  <c r="A26" i="7"/>
  <c r="K26" i="7" l="1"/>
  <c r="A27" i="7"/>
  <c r="H37" i="7"/>
  <c r="G37" i="7" s="1"/>
  <c r="F37" i="7" s="1"/>
  <c r="C38" i="7"/>
  <c r="H38" i="7" l="1"/>
  <c r="G38" i="7" s="1"/>
  <c r="F38" i="7" s="1"/>
  <c r="C39" i="7"/>
  <c r="J38" i="7"/>
  <c r="J39" i="7" s="1"/>
  <c r="A28" i="7"/>
  <c r="K27" i="7"/>
  <c r="K28" i="7" l="1"/>
  <c r="A29" i="7"/>
  <c r="H39" i="7"/>
  <c r="G39" i="7" s="1"/>
  <c r="F39" i="7" s="1"/>
  <c r="C40" i="7"/>
  <c r="H40" i="7" s="1"/>
  <c r="G40" i="7" s="1"/>
  <c r="F40" i="7" s="1"/>
  <c r="H46" i="7" s="1"/>
  <c r="H48" i="7" s="1"/>
  <c r="J40" i="7" l="1"/>
  <c r="K29" i="7"/>
  <c r="A30" i="7"/>
  <c r="K30" i="7" l="1"/>
  <c r="A31" i="7"/>
  <c r="K31" i="7" l="1"/>
  <c r="A32" i="7"/>
  <c r="K32" i="7" l="1"/>
  <c r="A33" i="7"/>
  <c r="K33" i="7" l="1"/>
  <c r="A34" i="7"/>
  <c r="K34" i="7" l="1"/>
  <c r="A35" i="7"/>
  <c r="A36" i="7" l="1"/>
  <c r="K35" i="7"/>
  <c r="K36" i="7" l="1"/>
  <c r="A37" i="7"/>
  <c r="K37" i="7" l="1"/>
  <c r="A38" i="7"/>
  <c r="K38" i="7" l="1"/>
  <c r="A39" i="7"/>
  <c r="K39" i="7" l="1"/>
  <c r="A40" i="7"/>
  <c r="K40" i="7" s="1"/>
  <c r="K57" i="7" l="1"/>
  <c r="K59" i="7" s="1"/>
  <c r="K63" i="7" s="1"/>
  <c r="K71" i="7"/>
  <c r="K73" i="7" s="1"/>
  <c r="K81" i="7" s="1"/>
</calcChain>
</file>

<file path=xl/sharedStrings.xml><?xml version="1.0" encoding="utf-8"?>
<sst xmlns="http://schemas.openxmlformats.org/spreadsheetml/2006/main" count="50" uniqueCount="39">
  <si>
    <t>PLATTS'S OIL GRAM</t>
  </si>
  <si>
    <t>ESTIMATED U.S. GULF COST SPOT WATERBORNE</t>
  </si>
  <si>
    <t>1% SULPHUR RESIDUAL FUEL OIL</t>
  </si>
  <si>
    <t>E</t>
  </si>
  <si>
    <t>WEIGHTED</t>
  </si>
  <si>
    <t>MONTHLY</t>
  </si>
  <si>
    <t>S</t>
  </si>
  <si>
    <t>ACCUM</t>
  </si>
  <si>
    <t>DAILY</t>
  </si>
  <si>
    <t>AVG</t>
  </si>
  <si>
    <t>DAY</t>
  </si>
  <si>
    <t>T</t>
  </si>
  <si>
    <t>LOW</t>
  </si>
  <si>
    <t>HIGH</t>
  </si>
  <si>
    <t xml:space="preserve"> </t>
  </si>
  <si>
    <t>DAYS IN MONTH</t>
  </si>
  <si>
    <t>MID-MONTH FORMULA PRICE</t>
  </si>
  <si>
    <t>MID-MONTH DAILY AVERAGE</t>
  </si>
  <si>
    <t>EXXON GAS PURCHASE PRICING</t>
  </si>
  <si>
    <t>EXXON CONTRACT #101</t>
  </si>
  <si>
    <t>(PEARL RIVER AND FANNY CHURCH)</t>
  </si>
  <si>
    <t>PLATT'S MONTHLY AMOUNT (WT. AVG. LOWS)</t>
  </si>
  <si>
    <t>EQUIVALENT PRICE</t>
  </si>
  <si>
    <t>FLOOR PRICE</t>
  </si>
  <si>
    <t>HIGHER OF: EQUIVALENT OR FLOOR PRICE</t>
  </si>
  <si>
    <t>EXXON CONTRACT #103</t>
  </si>
  <si>
    <t>(ST. REGIS/JAY PLANT, FLOM/CHAVERS CREEK)</t>
  </si>
  <si>
    <t>4 INDEX AVERAGE:</t>
  </si>
  <si>
    <t>INSIDE FERC - SO NAT/LA INDEX</t>
  </si>
  <si>
    <t>INSIDE FERC - TRANSCO MS/AL INDEX</t>
  </si>
  <si>
    <t>INSIDE FERC - FGT ZONE 3</t>
  </si>
  <si>
    <t>HIGHER OF: EQUIVALENT OR 4 INDEX AVG.</t>
  </si>
  <si>
    <t>AVG RND</t>
  </si>
  <si>
    <t>FORMULA PRICE (Pm)</t>
  </si>
  <si>
    <t>FLOOR PRICE (Po)</t>
  </si>
  <si>
    <t>AVERAGE OF DAILY LOW/HIGH (R)</t>
  </si>
  <si>
    <t>INSIDE FERC - GULF SOUTH/LA INDEX</t>
  </si>
  <si>
    <t>FORMULA PRICE =  Pm= ((R*.925)/6.3)-.25</t>
  </si>
  <si>
    <t>March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</si>
</sst>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General_)"/>
    <numFmt numFmtId="168" formatCode="hh:mm\ AM/PM_)"/>
    <numFmt numFmtId="169" formatCode="&quot;$&quot;#,##0.000_);\(&quot;$&quot;#,##0.000\)"/>
    <numFmt numFmtId="171" formatCode="&quot;$&quot;#,##0.0000_);\(&quot;$&quot;#,##0.0000\)"/>
  </numFmts>
  <fonts count="5" x14ac:knownFonts="1">
    <font>
      <sz val="10"/>
      <name val="Tms Rmn"/>
    </font>
    <font>
      <b/>
      <sz val="10"/>
      <name val="Arial"/>
      <family val="2"/>
    </font>
    <font>
      <sz val="10"/>
      <name val="Arial"/>
      <family val="2"/>
    </font>
    <font>
      <sz val="11"/>
      <color indexed="12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164" fontId="0" fillId="0" borderId="0"/>
  </cellStyleXfs>
  <cellXfs count="37">
    <xf numFmtId="164" fontId="0" fillId="0" borderId="0" xfId="0"/>
    <xf numFmtId="164" fontId="1" fillId="0" borderId="0" xfId="0" applyNumberFormat="1" applyFont="1" applyAlignment="1" applyProtection="1">
      <alignment horizontal="left"/>
    </xf>
    <xf numFmtId="164" fontId="2" fillId="0" borderId="0" xfId="0" applyFont="1"/>
    <xf numFmtId="168" fontId="1" fillId="0" borderId="0" xfId="0" applyNumberFormat="1" applyFont="1" applyProtection="1"/>
    <xf numFmtId="164" fontId="1" fillId="0" borderId="0" xfId="0" quotePrefix="1" applyNumberFormat="1" applyFont="1" applyAlignment="1" applyProtection="1">
      <alignment horizontal="left"/>
    </xf>
    <xf numFmtId="164" fontId="1" fillId="2" borderId="1" xfId="0" applyNumberFormat="1" applyFont="1" applyFill="1" applyBorder="1" applyProtection="1"/>
    <xf numFmtId="164" fontId="1" fillId="2" borderId="2" xfId="0" applyNumberFormat="1" applyFont="1" applyFill="1" applyBorder="1" applyAlignment="1" applyProtection="1">
      <alignment horizontal="center"/>
    </xf>
    <xf numFmtId="164" fontId="1" fillId="2" borderId="2" xfId="0" applyNumberFormat="1" applyFont="1" applyFill="1" applyBorder="1" applyProtection="1"/>
    <xf numFmtId="164" fontId="1" fillId="3" borderId="3" xfId="0" applyFont="1" applyFill="1" applyBorder="1" applyAlignment="1">
      <alignment horizontal="center"/>
    </xf>
    <xf numFmtId="164" fontId="1" fillId="2" borderId="4" xfId="0" applyNumberFormat="1" applyFont="1" applyFill="1" applyBorder="1" applyProtection="1"/>
    <xf numFmtId="164" fontId="1" fillId="2" borderId="0" xfId="0" applyNumberFormat="1" applyFont="1" applyFill="1" applyAlignment="1" applyProtection="1">
      <alignment horizontal="center"/>
    </xf>
    <xf numFmtId="164" fontId="1" fillId="2" borderId="0" xfId="0" applyNumberFormat="1" applyFont="1" applyFill="1" applyProtection="1"/>
    <xf numFmtId="164" fontId="1" fillId="2" borderId="0" xfId="0" applyNumberFormat="1" applyFont="1" applyFill="1" applyBorder="1" applyAlignment="1" applyProtection="1">
      <alignment horizontal="center"/>
    </xf>
    <xf numFmtId="164" fontId="1" fillId="3" borderId="5" xfId="0" applyFont="1" applyFill="1" applyBorder="1" applyAlignment="1">
      <alignment horizontal="center"/>
    </xf>
    <xf numFmtId="164" fontId="1" fillId="2" borderId="6" xfId="0" applyNumberFormat="1" applyFont="1" applyFill="1" applyBorder="1" applyAlignment="1" applyProtection="1">
      <alignment horizontal="center"/>
    </xf>
    <xf numFmtId="164" fontId="1" fillId="2" borderId="7" xfId="0" applyNumberFormat="1" applyFont="1" applyFill="1" applyBorder="1" applyAlignment="1" applyProtection="1">
      <alignment vertical="top" textRotation="255" wrapText="1"/>
    </xf>
    <xf numFmtId="164" fontId="1" fillId="2" borderId="7" xfId="0" applyNumberFormat="1" applyFont="1" applyFill="1" applyBorder="1" applyAlignment="1" applyProtection="1">
      <alignment horizontal="center"/>
    </xf>
    <xf numFmtId="164" fontId="1" fillId="2" borderId="7" xfId="0" applyNumberFormat="1" applyFont="1" applyFill="1" applyBorder="1" applyProtection="1"/>
    <xf numFmtId="164" fontId="1" fillId="3" borderId="8" xfId="0" applyFont="1" applyFill="1" applyBorder="1" applyAlignment="1">
      <alignment horizontal="center"/>
    </xf>
    <xf numFmtId="164" fontId="1" fillId="0" borderId="0" xfId="0" applyNumberFormat="1" applyFont="1" applyFill="1" applyBorder="1" applyAlignment="1" applyProtection="1">
      <alignment horizontal="center"/>
    </xf>
    <xf numFmtId="164" fontId="1" fillId="0" borderId="0" xfId="0" applyNumberFormat="1" applyFont="1" applyFill="1" applyBorder="1" applyProtection="1"/>
    <xf numFmtId="164" fontId="1" fillId="0" borderId="0" xfId="0" applyFont="1" applyFill="1" applyBorder="1" applyAlignment="1">
      <alignment horizontal="center"/>
    </xf>
    <xf numFmtId="164" fontId="2" fillId="0" borderId="0" xfId="0" applyFont="1" applyFill="1"/>
    <xf numFmtId="164" fontId="4" fillId="0" borderId="0" xfId="0" applyNumberFormat="1" applyFont="1" applyProtection="1">
      <protection locked="0"/>
    </xf>
    <xf numFmtId="171" fontId="2" fillId="0" borderId="0" xfId="0" applyNumberFormat="1" applyFont="1"/>
    <xf numFmtId="171" fontId="2" fillId="0" borderId="0" xfId="0" applyNumberFormat="1" applyFont="1" applyProtection="1"/>
    <xf numFmtId="171" fontId="2" fillId="0" borderId="0" xfId="0" applyNumberFormat="1" applyFont="1" applyBorder="1"/>
    <xf numFmtId="7" fontId="3" fillId="0" borderId="0" xfId="0" applyNumberFormat="1" applyFont="1" applyProtection="1">
      <protection locked="0"/>
    </xf>
    <xf numFmtId="171" fontId="1" fillId="0" borderId="0" xfId="0" applyNumberFormat="1" applyFont="1" applyProtection="1"/>
    <xf numFmtId="7" fontId="2" fillId="0" borderId="0" xfId="0" applyNumberFormat="1" applyFont="1"/>
    <xf numFmtId="169" fontId="2" fillId="0" borderId="0" xfId="0" applyNumberFormat="1" applyFont="1"/>
    <xf numFmtId="164" fontId="2" fillId="0" borderId="0" xfId="0" quotePrefix="1" applyFont="1"/>
    <xf numFmtId="171" fontId="1" fillId="0" borderId="0" xfId="0" applyNumberFormat="1" applyFont="1"/>
    <xf numFmtId="171" fontId="1" fillId="2" borderId="2" xfId="0" applyNumberFormat="1" applyFont="1" applyFill="1" applyBorder="1" applyProtection="1"/>
    <xf numFmtId="171" fontId="1" fillId="2" borderId="0" xfId="0" applyNumberFormat="1" applyFont="1" applyFill="1" applyProtection="1"/>
    <xf numFmtId="171" fontId="1" fillId="2" borderId="7" xfId="0" applyNumberFormat="1" applyFont="1" applyFill="1" applyBorder="1" applyProtection="1"/>
    <xf numFmtId="171" fontId="1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tore/Platts/1999/ECONOMIC/MAY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selection activeCell="A4" sqref="A4"/>
    </sheetView>
  </sheetViews>
  <sheetFormatPr defaultRowHeight="12.75" x14ac:dyDescent="0.2"/>
  <cols>
    <col min="1" max="1" width="9.33203125" style="2"/>
    <col min="2" max="2" width="3" style="2" customWidth="1"/>
    <col min="3" max="3" width="9.33203125" style="2"/>
    <col min="4" max="4" width="10.33203125" style="2" customWidth="1"/>
    <col min="5" max="5" width="4.6640625" style="2" customWidth="1"/>
    <col min="6" max="6" width="11.33203125" style="24" hidden="1" customWidth="1"/>
    <col min="7" max="7" width="13.6640625" style="2" customWidth="1"/>
    <col min="8" max="8" width="11" style="2" customWidth="1"/>
    <col min="9" max="9" width="3.83203125" style="2" customWidth="1"/>
    <col min="10" max="10" width="13.33203125" style="2" customWidth="1"/>
    <col min="11" max="11" width="13.83203125" style="2" customWidth="1"/>
    <col min="12" max="16384" width="9.33203125" style="2"/>
  </cols>
  <sheetData>
    <row r="1" spans="1:11" x14ac:dyDescent="0.2">
      <c r="A1" s="1" t="s">
        <v>0</v>
      </c>
      <c r="K1" s="3"/>
    </row>
    <row r="2" spans="1:11" x14ac:dyDescent="0.2">
      <c r="A2" s="1" t="s">
        <v>1</v>
      </c>
    </row>
    <row r="3" spans="1:11" x14ac:dyDescent="0.2">
      <c r="A3" s="1" t="s">
        <v>2</v>
      </c>
    </row>
    <row r="4" spans="1:11" x14ac:dyDescent="0.2">
      <c r="A4" s="4" t="s">
        <v>38</v>
      </c>
      <c r="G4" s="2" t="s">
        <v>15</v>
      </c>
      <c r="I4" s="2">
        <v>31</v>
      </c>
    </row>
    <row r="6" spans="1:11" x14ac:dyDescent="0.2">
      <c r="A6" s="5"/>
      <c r="B6" s="6" t="s">
        <v>3</v>
      </c>
      <c r="C6" s="7"/>
      <c r="D6" s="7"/>
      <c r="E6" s="7"/>
      <c r="F6" s="33"/>
      <c r="G6" s="7"/>
      <c r="H6" s="7"/>
      <c r="I6" s="7"/>
      <c r="J6" s="6" t="s">
        <v>4</v>
      </c>
      <c r="K6" s="8" t="s">
        <v>5</v>
      </c>
    </row>
    <row r="7" spans="1:11" x14ac:dyDescent="0.2">
      <c r="A7" s="9"/>
      <c r="B7" s="10" t="s">
        <v>6</v>
      </c>
      <c r="C7" s="11"/>
      <c r="D7" s="11"/>
      <c r="E7" s="11"/>
      <c r="F7" s="34" t="s">
        <v>7</v>
      </c>
      <c r="G7" s="10" t="s">
        <v>7</v>
      </c>
      <c r="H7" s="10" t="s">
        <v>8</v>
      </c>
      <c r="I7" s="11"/>
      <c r="J7" s="12" t="s">
        <v>9</v>
      </c>
      <c r="K7" s="13" t="s">
        <v>9</v>
      </c>
    </row>
    <row r="8" spans="1:11" ht="14.25" x14ac:dyDescent="0.2">
      <c r="A8" s="14" t="s">
        <v>10</v>
      </c>
      <c r="B8" s="15" t="s">
        <v>11</v>
      </c>
      <c r="C8" s="16" t="s">
        <v>12</v>
      </c>
      <c r="D8" s="16" t="s">
        <v>13</v>
      </c>
      <c r="E8" s="17"/>
      <c r="F8" s="35" t="s">
        <v>32</v>
      </c>
      <c r="G8" s="16" t="s">
        <v>9</v>
      </c>
      <c r="H8" s="16" t="s">
        <v>9</v>
      </c>
      <c r="I8" s="17"/>
      <c r="J8" s="16" t="s">
        <v>12</v>
      </c>
      <c r="K8" s="18" t="s">
        <v>12</v>
      </c>
    </row>
    <row r="9" spans="1:11" s="22" customFormat="1" x14ac:dyDescent="0.2">
      <c r="A9" s="19"/>
      <c r="B9" s="20"/>
      <c r="C9" s="19"/>
      <c r="D9" s="19"/>
      <c r="E9" s="20"/>
      <c r="F9" s="36"/>
      <c r="G9" s="19"/>
      <c r="H9" s="19"/>
      <c r="I9" s="20"/>
      <c r="J9" s="19"/>
      <c r="K9" s="21"/>
    </row>
    <row r="10" spans="1:11" ht="14.25" x14ac:dyDescent="0.2">
      <c r="A10" s="2">
        <v>1</v>
      </c>
      <c r="C10" s="27">
        <v>17.5</v>
      </c>
      <c r="D10" s="27">
        <v>18</v>
      </c>
      <c r="F10" s="24">
        <f t="shared" ref="F10:F37" si="0">ROUND(G10,4)</f>
        <v>17.75</v>
      </c>
      <c r="G10" s="25">
        <f>H10</f>
        <v>17.75</v>
      </c>
      <c r="H10" s="25">
        <f t="shared" ref="H10:H37" si="1">(+C10+D10)/2</f>
        <v>17.75</v>
      </c>
      <c r="I10" s="24"/>
      <c r="J10" s="25">
        <f>C10</f>
        <v>17.5</v>
      </c>
      <c r="K10" s="26">
        <f>C10</f>
        <v>17.5</v>
      </c>
    </row>
    <row r="11" spans="1:11" ht="14.25" x14ac:dyDescent="0.2">
      <c r="A11" s="2">
        <f t="shared" ref="A11:A40" si="2">A10+1</f>
        <v>2</v>
      </c>
      <c r="C11" s="27">
        <f>C10</f>
        <v>17.5</v>
      </c>
      <c r="D11" s="27">
        <f>D10</f>
        <v>18</v>
      </c>
      <c r="F11" s="24">
        <f t="shared" si="0"/>
        <v>17.75</v>
      </c>
      <c r="G11" s="25">
        <f>SUM(H10:H11)/2</f>
        <v>17.75</v>
      </c>
      <c r="H11" s="25">
        <f t="shared" si="1"/>
        <v>17.75</v>
      </c>
      <c r="I11" s="24"/>
      <c r="J11" s="25">
        <f t="shared" ref="J11:J37" si="3">+(J10+C11)/2</f>
        <v>17.5</v>
      </c>
      <c r="K11" s="26">
        <f>SUM($C$10:C11)/A11</f>
        <v>17.5</v>
      </c>
    </row>
    <row r="12" spans="1:11" ht="12.75" customHeight="1" x14ac:dyDescent="0.2">
      <c r="A12" s="2">
        <f t="shared" si="2"/>
        <v>3</v>
      </c>
      <c r="C12" s="27">
        <f t="shared" ref="C12:C40" si="4">C11</f>
        <v>17.5</v>
      </c>
      <c r="D12" s="27">
        <f t="shared" ref="D12:D40" si="5">D11</f>
        <v>18</v>
      </c>
      <c r="F12" s="24">
        <f t="shared" si="0"/>
        <v>17.75</v>
      </c>
      <c r="G12" s="25">
        <f>SUM(H10:H12)/3</f>
        <v>17.75</v>
      </c>
      <c r="H12" s="25">
        <f t="shared" si="1"/>
        <v>17.75</v>
      </c>
      <c r="I12" s="24"/>
      <c r="J12" s="25">
        <f t="shared" si="3"/>
        <v>17.5</v>
      </c>
      <c r="K12" s="26">
        <f>SUM($C$10:C12)/A12</f>
        <v>17.5</v>
      </c>
    </row>
    <row r="13" spans="1:11" ht="14.25" x14ac:dyDescent="0.2">
      <c r="A13" s="2">
        <f t="shared" si="2"/>
        <v>4</v>
      </c>
      <c r="C13" s="27">
        <f t="shared" si="4"/>
        <v>17.5</v>
      </c>
      <c r="D13" s="27">
        <f t="shared" si="5"/>
        <v>18</v>
      </c>
      <c r="F13" s="24">
        <f t="shared" si="0"/>
        <v>17.75</v>
      </c>
      <c r="G13" s="25">
        <f>SUM(H10:H13)/4</f>
        <v>17.75</v>
      </c>
      <c r="H13" s="25">
        <f t="shared" si="1"/>
        <v>17.75</v>
      </c>
      <c r="I13" s="24"/>
      <c r="J13" s="25">
        <f t="shared" si="3"/>
        <v>17.5</v>
      </c>
      <c r="K13" s="26">
        <f>SUM($C$10:C13)/A13</f>
        <v>17.5</v>
      </c>
    </row>
    <row r="14" spans="1:11" ht="14.25" x14ac:dyDescent="0.2">
      <c r="A14" s="2">
        <f t="shared" si="2"/>
        <v>5</v>
      </c>
      <c r="C14" s="27">
        <v>18.25</v>
      </c>
      <c r="D14" s="27">
        <v>18.75</v>
      </c>
      <c r="F14" s="24">
        <f t="shared" si="0"/>
        <v>17.899999999999999</v>
      </c>
      <c r="G14" s="25">
        <f>SUM(H10:H14)/5</f>
        <v>17.899999999999999</v>
      </c>
      <c r="H14" s="25">
        <f t="shared" si="1"/>
        <v>18.5</v>
      </c>
      <c r="I14" s="24"/>
      <c r="J14" s="25">
        <f t="shared" si="3"/>
        <v>17.875</v>
      </c>
      <c r="K14" s="26">
        <f>SUM($C$10:C14)/A14</f>
        <v>17.649999999999999</v>
      </c>
    </row>
    <row r="15" spans="1:11" ht="14.25" x14ac:dyDescent="0.2">
      <c r="A15" s="2">
        <f t="shared" si="2"/>
        <v>6</v>
      </c>
      <c r="C15" s="27">
        <f t="shared" si="4"/>
        <v>18.25</v>
      </c>
      <c r="D15" s="27">
        <f t="shared" si="5"/>
        <v>18.75</v>
      </c>
      <c r="F15" s="24">
        <f t="shared" si="0"/>
        <v>18</v>
      </c>
      <c r="G15" s="25">
        <f>SUM(H10:H15)/6</f>
        <v>18</v>
      </c>
      <c r="H15" s="25">
        <f t="shared" si="1"/>
        <v>18.5</v>
      </c>
      <c r="I15" s="24"/>
      <c r="J15" s="25">
        <f t="shared" si="3"/>
        <v>18.0625</v>
      </c>
      <c r="K15" s="26">
        <f>SUM($C$10:C15)/A15</f>
        <v>17.75</v>
      </c>
    </row>
    <row r="16" spans="1:11" ht="14.25" x14ac:dyDescent="0.2">
      <c r="A16" s="2">
        <f t="shared" si="2"/>
        <v>7</v>
      </c>
      <c r="C16" s="27">
        <v>18.7</v>
      </c>
      <c r="D16" s="27">
        <v>19.2</v>
      </c>
      <c r="F16" s="24">
        <f t="shared" si="0"/>
        <v>18.1357</v>
      </c>
      <c r="G16" s="25">
        <f>SUM(H10:H16)/7</f>
        <v>18.135714285714286</v>
      </c>
      <c r="H16" s="25">
        <f t="shared" si="1"/>
        <v>18.95</v>
      </c>
      <c r="I16" s="24"/>
      <c r="J16" s="25">
        <f t="shared" si="3"/>
        <v>18.381250000000001</v>
      </c>
      <c r="K16" s="26">
        <f>SUM($C$10:C16)/A16</f>
        <v>17.885714285714286</v>
      </c>
    </row>
    <row r="17" spans="1:11" ht="14.25" x14ac:dyDescent="0.2">
      <c r="A17" s="2">
        <f t="shared" si="2"/>
        <v>8</v>
      </c>
      <c r="C17" s="27">
        <v>18</v>
      </c>
      <c r="D17" s="27">
        <v>18.5</v>
      </c>
      <c r="F17" s="24">
        <f t="shared" si="0"/>
        <v>18.149999999999999</v>
      </c>
      <c r="G17" s="25">
        <f>SUM(H10:H17)/8</f>
        <v>18.149999999999999</v>
      </c>
      <c r="H17" s="25">
        <f t="shared" si="1"/>
        <v>18.25</v>
      </c>
      <c r="I17" s="24"/>
      <c r="J17" s="25">
        <f t="shared" si="3"/>
        <v>18.190625000000001</v>
      </c>
      <c r="K17" s="26">
        <f>SUM($C$10:C17)/A17</f>
        <v>17.899999999999999</v>
      </c>
    </row>
    <row r="18" spans="1:11" ht="14.25" x14ac:dyDescent="0.2">
      <c r="A18" s="2">
        <f t="shared" si="2"/>
        <v>9</v>
      </c>
      <c r="C18" s="27">
        <f t="shared" si="4"/>
        <v>18</v>
      </c>
      <c r="D18" s="27">
        <f t="shared" si="5"/>
        <v>18.5</v>
      </c>
      <c r="F18" s="24">
        <f t="shared" si="0"/>
        <v>18.161100000000001</v>
      </c>
      <c r="G18" s="25">
        <f>SUM(H10:H18)/9</f>
        <v>18.161111111111111</v>
      </c>
      <c r="H18" s="25">
        <f t="shared" si="1"/>
        <v>18.25</v>
      </c>
      <c r="I18" s="24"/>
      <c r="J18" s="25">
        <f t="shared" si="3"/>
        <v>18.095312499999999</v>
      </c>
      <c r="K18" s="26">
        <f>SUM($C$10:C18)/A18</f>
        <v>17.911111111111111</v>
      </c>
    </row>
    <row r="19" spans="1:11" ht="14.25" x14ac:dyDescent="0.2">
      <c r="A19" s="2">
        <f t="shared" si="2"/>
        <v>10</v>
      </c>
      <c r="C19" s="27">
        <f t="shared" si="4"/>
        <v>18</v>
      </c>
      <c r="D19" s="27">
        <f t="shared" si="5"/>
        <v>18.5</v>
      </c>
      <c r="F19" s="24">
        <f t="shared" si="0"/>
        <v>18.170000000000002</v>
      </c>
      <c r="G19" s="25">
        <f>SUM(H10:H19)/10</f>
        <v>18.169999999999998</v>
      </c>
      <c r="H19" s="25">
        <f t="shared" si="1"/>
        <v>18.25</v>
      </c>
      <c r="I19" s="24"/>
      <c r="J19" s="25">
        <f t="shared" si="3"/>
        <v>18.047656249999999</v>
      </c>
      <c r="K19" s="26">
        <f>SUM($C$10:C19)/A19</f>
        <v>17.919999999999998</v>
      </c>
    </row>
    <row r="20" spans="1:11" ht="14.25" x14ac:dyDescent="0.2">
      <c r="A20" s="2">
        <f t="shared" si="2"/>
        <v>11</v>
      </c>
      <c r="C20" s="27">
        <v>18.25</v>
      </c>
      <c r="D20" s="27">
        <v>18.899999999999999</v>
      </c>
      <c r="F20" s="24">
        <f t="shared" si="0"/>
        <v>18.206800000000001</v>
      </c>
      <c r="G20" s="25">
        <f>SUM(H10:H20)/11</f>
        <v>18.206818181818178</v>
      </c>
      <c r="H20" s="25">
        <f t="shared" si="1"/>
        <v>18.574999999999999</v>
      </c>
      <c r="I20" s="24"/>
      <c r="J20" s="25">
        <f t="shared" si="3"/>
        <v>18.148828125000001</v>
      </c>
      <c r="K20" s="26">
        <f>SUM($C$10:C20)/A20</f>
        <v>17.95</v>
      </c>
    </row>
    <row r="21" spans="1:11" ht="14.25" x14ac:dyDescent="0.2">
      <c r="A21" s="2">
        <f t="shared" si="2"/>
        <v>12</v>
      </c>
      <c r="C21" s="27">
        <v>18.5</v>
      </c>
      <c r="D21" s="27">
        <v>19</v>
      </c>
      <c r="F21" s="24">
        <f t="shared" si="0"/>
        <v>18.252099999999999</v>
      </c>
      <c r="G21" s="25">
        <f>SUM(H10:H21)/12</f>
        <v>18.252083333333331</v>
      </c>
      <c r="H21" s="25">
        <f t="shared" si="1"/>
        <v>18.75</v>
      </c>
      <c r="I21" s="24"/>
      <c r="J21" s="25">
        <f t="shared" si="3"/>
        <v>18.324414062500001</v>
      </c>
      <c r="K21" s="26">
        <f>SUM($C$10:C21)/A21</f>
        <v>17.995833333333334</v>
      </c>
    </row>
    <row r="22" spans="1:11" ht="14.25" x14ac:dyDescent="0.2">
      <c r="A22" s="2">
        <f t="shared" si="2"/>
        <v>13</v>
      </c>
      <c r="C22" s="27">
        <f t="shared" si="4"/>
        <v>18.5</v>
      </c>
      <c r="D22" s="27">
        <f t="shared" si="5"/>
        <v>19</v>
      </c>
      <c r="F22" s="24">
        <f t="shared" si="0"/>
        <v>18.290400000000002</v>
      </c>
      <c r="G22" s="25">
        <f>SUM(H10:H22)/13</f>
        <v>18.290384615384614</v>
      </c>
      <c r="H22" s="25">
        <f t="shared" si="1"/>
        <v>18.75</v>
      </c>
      <c r="I22" s="24"/>
      <c r="J22" s="25">
        <f t="shared" si="3"/>
        <v>18.412207031249999</v>
      </c>
      <c r="K22" s="26">
        <f>SUM($C$10:C22)/A22</f>
        <v>18.034615384615385</v>
      </c>
    </row>
    <row r="23" spans="1:11" ht="14.25" x14ac:dyDescent="0.2">
      <c r="A23" s="2">
        <f t="shared" si="2"/>
        <v>14</v>
      </c>
      <c r="C23" s="27">
        <f t="shared" si="4"/>
        <v>18.5</v>
      </c>
      <c r="D23" s="27">
        <f t="shared" si="5"/>
        <v>19</v>
      </c>
      <c r="F23" s="24">
        <f t="shared" si="0"/>
        <v>18.3232</v>
      </c>
      <c r="G23" s="25">
        <f>SUM(H10:H23)/14</f>
        <v>18.323214285714283</v>
      </c>
      <c r="H23" s="25">
        <f t="shared" si="1"/>
        <v>18.75</v>
      </c>
      <c r="I23" s="24"/>
      <c r="J23" s="25">
        <f t="shared" si="3"/>
        <v>18.456103515624999</v>
      </c>
      <c r="K23" s="26">
        <f>SUM($C$10:C23)/A23</f>
        <v>18.067857142857143</v>
      </c>
    </row>
    <row r="24" spans="1:11" ht="14.25" x14ac:dyDescent="0.2">
      <c r="A24" s="2">
        <f t="shared" si="2"/>
        <v>15</v>
      </c>
      <c r="C24" s="27">
        <f t="shared" si="4"/>
        <v>18.5</v>
      </c>
      <c r="D24" s="27">
        <f t="shared" si="5"/>
        <v>19</v>
      </c>
      <c r="F24" s="24">
        <f t="shared" si="0"/>
        <v>18.351700000000001</v>
      </c>
      <c r="G24" s="28">
        <f>SUM(H10:H24)/15</f>
        <v>18.351666666666667</v>
      </c>
      <c r="H24" s="25">
        <f t="shared" si="1"/>
        <v>18.75</v>
      </c>
      <c r="I24" s="24"/>
      <c r="J24" s="25">
        <f t="shared" si="3"/>
        <v>18.478051757812501</v>
      </c>
      <c r="K24" s="26">
        <f>SUM($C$10:C24)/A24</f>
        <v>18.096666666666668</v>
      </c>
    </row>
    <row r="25" spans="1:11" ht="14.25" x14ac:dyDescent="0.2">
      <c r="A25" s="2">
        <f t="shared" si="2"/>
        <v>16</v>
      </c>
      <c r="C25" s="27">
        <f t="shared" si="4"/>
        <v>18.5</v>
      </c>
      <c r="D25" s="27">
        <f t="shared" si="5"/>
        <v>19</v>
      </c>
      <c r="F25" s="24">
        <f t="shared" si="0"/>
        <v>18.3766</v>
      </c>
      <c r="G25" s="25">
        <f>SUM(H10:H25)/16</f>
        <v>18.376562499999999</v>
      </c>
      <c r="H25" s="25">
        <f t="shared" si="1"/>
        <v>18.75</v>
      </c>
      <c r="I25" s="24"/>
      <c r="J25" s="25">
        <f t="shared" si="3"/>
        <v>18.489025878906251</v>
      </c>
      <c r="K25" s="26">
        <f>SUM($C$10:C25)/A25</f>
        <v>18.121874999999999</v>
      </c>
    </row>
    <row r="26" spans="1:11" ht="14.25" x14ac:dyDescent="0.2">
      <c r="A26" s="2">
        <f t="shared" si="2"/>
        <v>17</v>
      </c>
      <c r="B26" s="2" t="s">
        <v>14</v>
      </c>
      <c r="C26" s="27">
        <f t="shared" si="4"/>
        <v>18.5</v>
      </c>
      <c r="D26" s="27">
        <f t="shared" si="5"/>
        <v>19</v>
      </c>
      <c r="F26" s="24">
        <f t="shared" si="0"/>
        <v>18.398499999999999</v>
      </c>
      <c r="G26" s="25">
        <f>SUM(H10:H26)/17</f>
        <v>18.398529411764706</v>
      </c>
      <c r="H26" s="25">
        <f t="shared" si="1"/>
        <v>18.75</v>
      </c>
      <c r="I26" s="24"/>
      <c r="J26" s="25">
        <f t="shared" si="3"/>
        <v>18.494512939453124</v>
      </c>
      <c r="K26" s="26">
        <f>SUM($C$10:C26)/A26</f>
        <v>18.144117647058824</v>
      </c>
    </row>
    <row r="27" spans="1:11" ht="14.25" x14ac:dyDescent="0.2">
      <c r="A27" s="2">
        <f t="shared" si="2"/>
        <v>18</v>
      </c>
      <c r="B27" s="2" t="str">
        <f>+B26</f>
        <v xml:space="preserve"> </v>
      </c>
      <c r="C27" s="27">
        <f t="shared" si="4"/>
        <v>18.5</v>
      </c>
      <c r="D27" s="27">
        <f t="shared" si="5"/>
        <v>19</v>
      </c>
      <c r="F27" s="24">
        <f t="shared" si="0"/>
        <v>18.418099999999999</v>
      </c>
      <c r="G27" s="25">
        <f>SUM(H10:H27)/18</f>
        <v>18.418055555555554</v>
      </c>
      <c r="H27" s="25">
        <f t="shared" si="1"/>
        <v>18.75</v>
      </c>
      <c r="I27" s="24"/>
      <c r="J27" s="25">
        <f t="shared" si="3"/>
        <v>18.497256469726562</v>
      </c>
      <c r="K27" s="26">
        <f>SUM($C$10:C27)/A27</f>
        <v>18.163888888888888</v>
      </c>
    </row>
    <row r="28" spans="1:11" ht="14.25" x14ac:dyDescent="0.2">
      <c r="A28" s="2">
        <f t="shared" si="2"/>
        <v>19</v>
      </c>
      <c r="C28" s="27">
        <f t="shared" si="4"/>
        <v>18.5</v>
      </c>
      <c r="D28" s="27">
        <f t="shared" si="5"/>
        <v>19</v>
      </c>
      <c r="F28" s="24">
        <f t="shared" si="0"/>
        <v>18.435500000000001</v>
      </c>
      <c r="G28" s="25">
        <f>SUM(H10:H28)/19</f>
        <v>18.435526315789474</v>
      </c>
      <c r="H28" s="25">
        <f t="shared" si="1"/>
        <v>18.75</v>
      </c>
      <c r="I28" s="24"/>
      <c r="J28" s="25">
        <f t="shared" si="3"/>
        <v>18.498628234863283</v>
      </c>
      <c r="K28" s="26">
        <f>SUM($C$10:C28)/A28</f>
        <v>18.181578947368422</v>
      </c>
    </row>
    <row r="29" spans="1:11" ht="14.25" x14ac:dyDescent="0.2">
      <c r="A29" s="2">
        <f t="shared" si="2"/>
        <v>20</v>
      </c>
      <c r="C29" s="27">
        <f t="shared" si="4"/>
        <v>18.5</v>
      </c>
      <c r="D29" s="27">
        <f t="shared" si="5"/>
        <v>19</v>
      </c>
      <c r="F29" s="24">
        <f t="shared" si="0"/>
        <v>18.4513</v>
      </c>
      <c r="G29" s="25">
        <f>SUM(H10:H29)/20</f>
        <v>18.451249999999998</v>
      </c>
      <c r="H29" s="25">
        <f t="shared" si="1"/>
        <v>18.75</v>
      </c>
      <c r="I29" s="24"/>
      <c r="J29" s="25">
        <f t="shared" si="3"/>
        <v>18.499314117431641</v>
      </c>
      <c r="K29" s="26">
        <f>SUM($C$10:C29)/A29</f>
        <v>18.197499999999998</v>
      </c>
    </row>
    <row r="30" spans="1:11" ht="14.25" x14ac:dyDescent="0.2">
      <c r="A30" s="2">
        <f t="shared" si="2"/>
        <v>21</v>
      </c>
      <c r="C30" s="27">
        <f t="shared" si="4"/>
        <v>18.5</v>
      </c>
      <c r="D30" s="27">
        <f t="shared" si="5"/>
        <v>19</v>
      </c>
      <c r="F30" s="24">
        <f t="shared" si="0"/>
        <v>18.465499999999999</v>
      </c>
      <c r="G30" s="25">
        <f>SUM(H10:H30)/21</f>
        <v>18.465476190476188</v>
      </c>
      <c r="H30" s="25">
        <f t="shared" si="1"/>
        <v>18.75</v>
      </c>
      <c r="I30" s="24"/>
      <c r="J30" s="25">
        <f t="shared" si="3"/>
        <v>18.499657058715819</v>
      </c>
      <c r="K30" s="26">
        <f>SUM($C$10:C30)/A30</f>
        <v>18.211904761904762</v>
      </c>
    </row>
    <row r="31" spans="1:11" ht="14.25" x14ac:dyDescent="0.2">
      <c r="A31" s="2">
        <f t="shared" si="2"/>
        <v>22</v>
      </c>
      <c r="C31" s="27">
        <f t="shared" si="4"/>
        <v>18.5</v>
      </c>
      <c r="D31" s="27">
        <f t="shared" si="5"/>
        <v>19</v>
      </c>
      <c r="F31" s="24">
        <f t="shared" si="0"/>
        <v>18.478400000000001</v>
      </c>
      <c r="G31" s="25">
        <f>SUM(H10:H31)/22</f>
        <v>18.478409090909089</v>
      </c>
      <c r="H31" s="25">
        <f t="shared" si="1"/>
        <v>18.75</v>
      </c>
      <c r="I31" s="24"/>
      <c r="J31" s="25">
        <f t="shared" si="3"/>
        <v>18.499828529357909</v>
      </c>
      <c r="K31" s="26">
        <f>SUM($C$10:C31)/A31</f>
        <v>18.224999999999998</v>
      </c>
    </row>
    <row r="32" spans="1:11" ht="14.25" x14ac:dyDescent="0.2">
      <c r="A32" s="2">
        <f t="shared" si="2"/>
        <v>23</v>
      </c>
      <c r="C32" s="27">
        <f t="shared" si="4"/>
        <v>18.5</v>
      </c>
      <c r="D32" s="27">
        <f t="shared" si="5"/>
        <v>19</v>
      </c>
      <c r="F32" s="24">
        <f t="shared" si="0"/>
        <v>18.490200000000002</v>
      </c>
      <c r="G32" s="25">
        <f>SUM(H10:H32)/23</f>
        <v>18.490217391304348</v>
      </c>
      <c r="H32" s="25">
        <f t="shared" si="1"/>
        <v>18.75</v>
      </c>
      <c r="I32" s="24"/>
      <c r="J32" s="25">
        <f t="shared" si="3"/>
        <v>18.499914264678956</v>
      </c>
      <c r="K32" s="26">
        <f>SUM($C$10:C32)/A32</f>
        <v>18.236956521739131</v>
      </c>
    </row>
    <row r="33" spans="1:12" ht="14.25" x14ac:dyDescent="0.2">
      <c r="A33" s="2">
        <f t="shared" si="2"/>
        <v>24</v>
      </c>
      <c r="C33" s="27">
        <f t="shared" si="4"/>
        <v>18.5</v>
      </c>
      <c r="D33" s="27">
        <f t="shared" si="5"/>
        <v>19</v>
      </c>
      <c r="F33" s="24">
        <f t="shared" si="0"/>
        <v>18.501000000000001</v>
      </c>
      <c r="G33" s="25">
        <f>SUM(H10:H33)/24</f>
        <v>18.501041666666666</v>
      </c>
      <c r="H33" s="25">
        <f t="shared" si="1"/>
        <v>18.75</v>
      </c>
      <c r="I33" s="24"/>
      <c r="J33" s="25">
        <f t="shared" si="3"/>
        <v>18.499957132339478</v>
      </c>
      <c r="K33" s="26">
        <f>SUM($C$10:C33)/A33</f>
        <v>18.247916666666665</v>
      </c>
    </row>
    <row r="34" spans="1:12" ht="14.25" x14ac:dyDescent="0.2">
      <c r="A34" s="2">
        <f t="shared" si="2"/>
        <v>25</v>
      </c>
      <c r="C34" s="27">
        <f t="shared" si="4"/>
        <v>18.5</v>
      </c>
      <c r="D34" s="27">
        <f t="shared" si="5"/>
        <v>19</v>
      </c>
      <c r="F34" s="24">
        <f t="shared" si="0"/>
        <v>18.510999999999999</v>
      </c>
      <c r="G34" s="25">
        <f>SUM(H10:H34)/25</f>
        <v>18.510999999999999</v>
      </c>
      <c r="H34" s="25">
        <f t="shared" si="1"/>
        <v>18.75</v>
      </c>
      <c r="I34" s="24"/>
      <c r="J34" s="25">
        <f t="shared" si="3"/>
        <v>18.499978566169737</v>
      </c>
      <c r="K34" s="26">
        <f>SUM($C$10:C34)/A34</f>
        <v>18.257999999999999</v>
      </c>
    </row>
    <row r="35" spans="1:12" ht="14.25" x14ac:dyDescent="0.2">
      <c r="A35" s="2">
        <f t="shared" si="2"/>
        <v>26</v>
      </c>
      <c r="C35" s="27">
        <f t="shared" si="4"/>
        <v>18.5</v>
      </c>
      <c r="D35" s="27">
        <f t="shared" si="5"/>
        <v>19</v>
      </c>
      <c r="F35" s="24">
        <f t="shared" si="0"/>
        <v>18.520199999999999</v>
      </c>
      <c r="G35" s="25">
        <f>SUM(H10:H35)/26</f>
        <v>18.520192307692305</v>
      </c>
      <c r="H35" s="25">
        <f t="shared" si="1"/>
        <v>18.75</v>
      </c>
      <c r="I35" s="24"/>
      <c r="J35" s="25">
        <f t="shared" si="3"/>
        <v>18.499989283084869</v>
      </c>
      <c r="K35" s="26">
        <f>SUM($C$10:C35)/A35</f>
        <v>18.267307692307693</v>
      </c>
    </row>
    <row r="36" spans="1:12" ht="14.25" x14ac:dyDescent="0.2">
      <c r="A36" s="2">
        <f t="shared" si="2"/>
        <v>27</v>
      </c>
      <c r="C36" s="27">
        <f t="shared" si="4"/>
        <v>18.5</v>
      </c>
      <c r="D36" s="27">
        <f t="shared" si="5"/>
        <v>19</v>
      </c>
      <c r="E36" s="23"/>
      <c r="F36" s="24">
        <f t="shared" si="0"/>
        <v>18.528700000000001</v>
      </c>
      <c r="G36" s="25">
        <f>SUM(H10:H36)/27</f>
        <v>18.528703703703702</v>
      </c>
      <c r="H36" s="25">
        <f t="shared" si="1"/>
        <v>18.75</v>
      </c>
      <c r="I36" s="24"/>
      <c r="J36" s="25">
        <f t="shared" si="3"/>
        <v>18.499994641542436</v>
      </c>
      <c r="K36" s="26">
        <f>SUM($C$10:C36)/A36</f>
        <v>18.275925925925925</v>
      </c>
    </row>
    <row r="37" spans="1:12" ht="14.25" x14ac:dyDescent="0.2">
      <c r="A37" s="2">
        <f t="shared" si="2"/>
        <v>28</v>
      </c>
      <c r="C37" s="27">
        <f t="shared" si="4"/>
        <v>18.5</v>
      </c>
      <c r="D37" s="27">
        <f t="shared" si="5"/>
        <v>19</v>
      </c>
      <c r="E37" s="23"/>
      <c r="F37" s="24">
        <f t="shared" si="0"/>
        <v>18.5366</v>
      </c>
      <c r="G37" s="25">
        <f>SUM(H10:H37)/28</f>
        <v>18.536607142857143</v>
      </c>
      <c r="H37" s="25">
        <f t="shared" si="1"/>
        <v>18.75</v>
      </c>
      <c r="I37" s="24"/>
      <c r="J37" s="25">
        <f t="shared" si="3"/>
        <v>18.499997320771218</v>
      </c>
      <c r="K37" s="26">
        <f>SUM($C$10:C37)/A37</f>
        <v>18.283928571428572</v>
      </c>
    </row>
    <row r="38" spans="1:12" ht="14.25" x14ac:dyDescent="0.2">
      <c r="A38" s="2">
        <f t="shared" si="2"/>
        <v>29</v>
      </c>
      <c r="C38" s="27">
        <f t="shared" si="4"/>
        <v>18.5</v>
      </c>
      <c r="D38" s="27">
        <f t="shared" si="5"/>
        <v>19</v>
      </c>
      <c r="E38" s="23"/>
      <c r="F38" s="24">
        <f>ROUND(G38,4)</f>
        <v>18.544</v>
      </c>
      <c r="G38" s="25">
        <f>SUM(H10:H38)/29</f>
        <v>18.543965517241379</v>
      </c>
      <c r="H38" s="25">
        <f>(+C38+D38)/2</f>
        <v>18.75</v>
      </c>
      <c r="I38" s="24"/>
      <c r="J38" s="25">
        <f>+(J37+C38)/2</f>
        <v>18.499998660385607</v>
      </c>
      <c r="K38" s="26">
        <f>SUM($C$10:C38)/A38</f>
        <v>18.29137931034483</v>
      </c>
    </row>
    <row r="39" spans="1:12" ht="14.25" x14ac:dyDescent="0.2">
      <c r="A39" s="2">
        <f t="shared" si="2"/>
        <v>30</v>
      </c>
      <c r="C39" s="27">
        <f t="shared" si="4"/>
        <v>18.5</v>
      </c>
      <c r="D39" s="27">
        <f t="shared" si="5"/>
        <v>19</v>
      </c>
      <c r="E39" s="23"/>
      <c r="F39" s="24">
        <f>ROUND(G39,4)</f>
        <v>18.550799999999999</v>
      </c>
      <c r="G39" s="25">
        <f>SUM(H10:H39)/30</f>
        <v>18.550833333333333</v>
      </c>
      <c r="H39" s="25">
        <f>(+C39+D39)/2</f>
        <v>18.75</v>
      </c>
      <c r="I39" s="24"/>
      <c r="J39" s="25">
        <f>+(J38+C39)/2</f>
        <v>18.499999330192804</v>
      </c>
      <c r="K39" s="26">
        <f>SUM($C$10:C39)/A39</f>
        <v>18.298333333333336</v>
      </c>
    </row>
    <row r="40" spans="1:12" ht="14.25" x14ac:dyDescent="0.2">
      <c r="A40" s="2">
        <f t="shared" si="2"/>
        <v>31</v>
      </c>
      <c r="C40" s="27">
        <f t="shared" si="4"/>
        <v>18.5</v>
      </c>
      <c r="D40" s="27">
        <f t="shared" si="5"/>
        <v>19</v>
      </c>
      <c r="E40" s="23"/>
      <c r="F40" s="24">
        <f>ROUND(G40,4)</f>
        <v>18.557300000000001</v>
      </c>
      <c r="G40" s="25">
        <f>SUM(H10:H40)/31</f>
        <v>18.557258064516127</v>
      </c>
      <c r="H40" s="25">
        <f>(+C40+D40)/2</f>
        <v>18.75</v>
      </c>
      <c r="I40" s="24"/>
      <c r="J40" s="25">
        <f>+(J39+C40)/2</f>
        <v>18.499999665096404</v>
      </c>
      <c r="K40" s="26">
        <f>SUM($C$10:C40)/A40</f>
        <v>18.304838709677419</v>
      </c>
    </row>
    <row r="41" spans="1:12" ht="14.25" x14ac:dyDescent="0.2">
      <c r="C41" s="27"/>
      <c r="D41" s="27"/>
      <c r="E41" s="23"/>
      <c r="G41" s="25"/>
      <c r="H41" s="25"/>
      <c r="I41" s="24"/>
      <c r="J41" s="25"/>
      <c r="K41" s="26"/>
    </row>
    <row r="42" spans="1:12" x14ac:dyDescent="0.2">
      <c r="C42" s="2" t="s">
        <v>17</v>
      </c>
      <c r="D42"/>
      <c r="H42" s="24">
        <f>F24</f>
        <v>18.351700000000001</v>
      </c>
      <c r="K42"/>
      <c r="L42"/>
    </row>
    <row r="43" spans="1:12" x14ac:dyDescent="0.2">
      <c r="C43" s="2" t="s">
        <v>16</v>
      </c>
      <c r="H43" s="24">
        <f>((H42*0.925)/6.3)-0.25</f>
        <v>2.444495634920635</v>
      </c>
      <c r="K43"/>
      <c r="L43"/>
    </row>
    <row r="44" spans="1:12" x14ac:dyDescent="0.2">
      <c r="H44" s="24"/>
      <c r="K44"/>
      <c r="L44"/>
    </row>
    <row r="45" spans="1:12" x14ac:dyDescent="0.2">
      <c r="C45" s="2" t="s">
        <v>37</v>
      </c>
      <c r="H45" s="24"/>
      <c r="K45"/>
      <c r="L45"/>
    </row>
    <row r="46" spans="1:12" x14ac:dyDescent="0.2">
      <c r="C46" s="2" t="s">
        <v>35</v>
      </c>
      <c r="H46" s="24">
        <f>F40</f>
        <v>18.557300000000001</v>
      </c>
      <c r="K46"/>
      <c r="L46"/>
    </row>
    <row r="47" spans="1:12" x14ac:dyDescent="0.2">
      <c r="C47" s="2" t="s">
        <v>34</v>
      </c>
      <c r="H47" s="29">
        <v>2</v>
      </c>
      <c r="K47"/>
      <c r="L47"/>
    </row>
    <row r="48" spans="1:12" x14ac:dyDescent="0.2">
      <c r="C48" s="2" t="s">
        <v>33</v>
      </c>
      <c r="H48" s="32">
        <f>((H46*0.925)/6.3)-0.25</f>
        <v>2.474682936507937</v>
      </c>
      <c r="K48"/>
      <c r="L48"/>
    </row>
    <row r="49" spans="3:11" x14ac:dyDescent="0.2">
      <c r="H49" s="2" t="s">
        <v>14</v>
      </c>
    </row>
    <row r="50" spans="3:11" x14ac:dyDescent="0.2">
      <c r="H50" s="2" t="s">
        <v>14</v>
      </c>
    </row>
    <row r="52" spans="3:11" x14ac:dyDescent="0.2">
      <c r="C52" s="2" t="s">
        <v>18</v>
      </c>
    </row>
    <row r="54" spans="3:11" x14ac:dyDescent="0.2">
      <c r="C54" s="2" t="s">
        <v>19</v>
      </c>
    </row>
    <row r="55" spans="3:11" x14ac:dyDescent="0.2">
      <c r="C55" s="2" t="s">
        <v>20</v>
      </c>
    </row>
    <row r="57" spans="3:11" x14ac:dyDescent="0.2">
      <c r="C57" s="2" t="s">
        <v>21</v>
      </c>
      <c r="K57" s="24">
        <f>K40</f>
        <v>18.304838709677419</v>
      </c>
    </row>
    <row r="59" spans="3:11" x14ac:dyDescent="0.2">
      <c r="C59" s="2" t="s">
        <v>22</v>
      </c>
      <c r="K59" s="24">
        <f>0.75*(K57/6.3)</f>
        <v>2.1791474654377883</v>
      </c>
    </row>
    <row r="61" spans="3:11" x14ac:dyDescent="0.2">
      <c r="C61" s="2" t="s">
        <v>23</v>
      </c>
      <c r="K61" s="29">
        <v>1.5</v>
      </c>
    </row>
    <row r="63" spans="3:11" x14ac:dyDescent="0.2">
      <c r="C63" s="2" t="s">
        <v>24</v>
      </c>
      <c r="K63" s="24">
        <f>IF(K59&gt;K61,K59,K61)</f>
        <v>2.1791474654377883</v>
      </c>
    </row>
    <row r="66" spans="3:11" x14ac:dyDescent="0.2">
      <c r="C66" s="2" t="s">
        <v>18</v>
      </c>
    </row>
    <row r="68" spans="3:11" x14ac:dyDescent="0.2">
      <c r="C68" s="2" t="s">
        <v>25</v>
      </c>
    </row>
    <row r="69" spans="3:11" x14ac:dyDescent="0.2">
      <c r="C69" s="2" t="s">
        <v>26</v>
      </c>
    </row>
    <row r="71" spans="3:11" x14ac:dyDescent="0.2">
      <c r="C71" s="2" t="s">
        <v>21</v>
      </c>
      <c r="K71" s="24">
        <f>K40</f>
        <v>18.304838709677419</v>
      </c>
    </row>
    <row r="73" spans="3:11" x14ac:dyDescent="0.2">
      <c r="C73" s="2" t="s">
        <v>22</v>
      </c>
      <c r="K73" s="30">
        <f>0.75*(K71/6.3)</f>
        <v>2.1791474654377883</v>
      </c>
    </row>
    <row r="75" spans="3:11" x14ac:dyDescent="0.2">
      <c r="C75" s="31" t="s">
        <v>27</v>
      </c>
      <c r="K75" s="24">
        <f>AVERAGE(J76:J79)</f>
        <v>2.375</v>
      </c>
    </row>
    <row r="76" spans="3:11" x14ac:dyDescent="0.2">
      <c r="D76" s="2" t="s">
        <v>36</v>
      </c>
      <c r="J76" s="29">
        <v>2.34</v>
      </c>
    </row>
    <row r="77" spans="3:11" x14ac:dyDescent="0.2">
      <c r="D77" s="2" t="s">
        <v>28</v>
      </c>
      <c r="J77" s="29">
        <v>2.37</v>
      </c>
    </row>
    <row r="78" spans="3:11" x14ac:dyDescent="0.2">
      <c r="D78" s="2" t="s">
        <v>29</v>
      </c>
      <c r="J78" s="29">
        <v>2.44</v>
      </c>
    </row>
    <row r="79" spans="3:11" x14ac:dyDescent="0.2">
      <c r="D79" s="2" t="s">
        <v>30</v>
      </c>
      <c r="J79" s="29">
        <v>2.35</v>
      </c>
    </row>
    <row r="81" spans="3:11" x14ac:dyDescent="0.2">
      <c r="C81" s="2" t="s">
        <v>31</v>
      </c>
      <c r="K81" s="24">
        <f>IF(K75&gt;K73,K75,K73)</f>
        <v>2.375</v>
      </c>
    </row>
  </sheetData>
  <phoneticPr fontId="0" type="noConversion"/>
  <pageMargins left="0.75" right="0.75" top="1" bottom="1" header="0.5" footer="0.5"/>
  <pageSetup orientation="portrait" horizontalDpi="4294967292" r:id="rId1"/>
  <headerFooter alignWithMargins="0">
    <oddFooter>&amp;L&amp;8&amp;F&amp;C&amp;8Page &amp;P&amp;R&amp;8&amp;D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2002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2000-04-03T13:39:22Z</cp:lastPrinted>
  <dcterms:created xsi:type="dcterms:W3CDTF">1998-05-26T14:46:06Z</dcterms:created>
  <dcterms:modified xsi:type="dcterms:W3CDTF">2014-09-03T12:20:13Z</dcterms:modified>
</cp:coreProperties>
</file>